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4.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drawings/drawing5.xml" ContentType="application/vnd.openxmlformats-officedocument.drawing+xml"/>
  <Override PartName="/xl/worksheets/sheet62.xml" ContentType="application/vnd.openxmlformats-officedocument.spreadsheetml.worksheet+xml"/>
  <Override PartName="/xl/drawings/drawing6.xml" ContentType="application/vnd.openxmlformats-officedocument.drawing+xml"/>
  <Override PartName="/xl/worksheets/sheet63.xml" ContentType="application/vnd.openxmlformats-officedocument.spreadsheetml.worksheet+xml"/>
  <Override PartName="/xl/drawings/drawing7.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drawings/drawing8.xml" ContentType="application/vnd.openxmlformats-officedocument.drawing+xml"/>
  <Override PartName="/xl/worksheets/sheet66.xml" ContentType="application/vnd.openxmlformats-officedocument.spreadsheetml.worksheet+xml"/>
  <Override PartName="/xl/drawings/drawing9.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drawings/drawing10.xml" ContentType="application/vnd.openxmlformats-officedocument.drawing+xml"/>
  <Override PartName="/xl/worksheets/sheet69.xml" ContentType="application/vnd.openxmlformats-officedocument.spreadsheetml.worksheet+xml"/>
  <Override PartName="/xl/drawings/drawing11.xml" ContentType="application/vnd.openxmlformats-officedocument.drawing+xml"/>
  <Override PartName="/xl/worksheets/sheet70.xml" ContentType="application/vnd.openxmlformats-officedocument.spreadsheetml.worksheet+xml"/>
  <Override PartName="/xl/drawings/drawing12.xml" ContentType="application/vnd.openxmlformats-officedocument.drawing+xml"/>
  <Override PartName="/xl/worksheets/sheet71.xml" ContentType="application/vnd.openxmlformats-officedocument.spreadsheetml.worksheet+xml"/>
  <Override PartName="/xl/drawings/drawing13.xml" ContentType="application/vnd.openxmlformats-officedocument.drawing+xml"/>
  <Override PartName="/xl/worksheets/sheet72.xml" ContentType="application/vnd.openxmlformats-officedocument.spreadsheetml.worksheet+xml"/>
  <Override PartName="/xl/drawings/drawing14.xml" ContentType="application/vnd.openxmlformats-officedocument.drawing+xml"/>
  <Override PartName="/xl/worksheets/sheet73.xml" ContentType="application/vnd.openxmlformats-officedocument.spreadsheetml.worksheet+xml"/>
  <Override PartName="/xl/drawings/drawing15.xml" ContentType="application/vnd.openxmlformats-officedocument.drawing+xml"/>
  <Override PartName="/xl/worksheets/sheet74.xml" ContentType="application/vnd.openxmlformats-officedocument.spreadsheetml.worksheet+xml"/>
  <Override PartName="/xl/drawings/drawing16.xml" ContentType="application/vnd.openxmlformats-officedocument.drawing+xml"/>
  <Override PartName="/xl/worksheets/sheet75.xml" ContentType="application/vnd.openxmlformats-officedocument.spreadsheetml.worksheet+xml"/>
  <Override PartName="/xl/drawings/drawing17.xml" ContentType="application/vnd.openxmlformats-officedocument.drawing+xml"/>
  <Override PartName="/xl/worksheets/sheet76.xml" ContentType="application/vnd.openxmlformats-officedocument.spreadsheetml.worksheet+xml"/>
  <Override PartName="/xl/drawings/drawing18.xml" ContentType="application/vnd.openxmlformats-officedocument.drawing+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drawings/drawing19.xml" ContentType="application/vnd.openxmlformats-officedocument.drawing+xml"/>
  <Override PartName="/xl/worksheets/sheet87.xml" ContentType="application/vnd.openxmlformats-officedocument.spreadsheetml.worksheet+xml"/>
  <Override PartName="/xl/drawings/drawing20.xml" ContentType="application/vnd.openxmlformats-officedocument.drawing+xml"/>
  <Override PartName="/xl/worksheets/sheet88.xml" ContentType="application/vnd.openxmlformats-officedocument.spreadsheetml.worksheet+xml"/>
  <Override PartName="/xl/drawings/drawing21.xml" ContentType="application/vnd.openxmlformats-officedocument.drawing+xml"/>
  <Override PartName="/xl/worksheets/sheet89.xml" ContentType="application/vnd.openxmlformats-officedocument.spreadsheetml.worksheet+xml"/>
  <Override PartName="/xl/drawings/drawing22.xml" ContentType="application/vnd.openxmlformats-officedocument.drawing+xml"/>
  <Override PartName="/xl/worksheets/sheet90.xml" ContentType="application/vnd.openxmlformats-officedocument.spreadsheetml.worksheet+xml"/>
  <Override PartName="/xl/drawings/drawing23.xml" ContentType="application/vnd.openxmlformats-officedocument.drawing+xml"/>
  <Override PartName="/xl/worksheets/sheet91.xml" ContentType="application/vnd.openxmlformats-officedocument.spreadsheetml.worksheet+xml"/>
  <Override PartName="/xl/drawings/drawing24.xml" ContentType="application/vnd.openxmlformats-officedocument.drawing+xml"/>
  <Override PartName="/xl/worksheets/sheet92.xml" ContentType="application/vnd.openxmlformats-officedocument.spreadsheetml.worksheet+xml"/>
  <Override PartName="/xl/drawings/drawing25.xml" ContentType="application/vnd.openxmlformats-officedocument.drawing+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drawings/drawing26.xml" ContentType="application/vnd.openxmlformats-officedocument.drawing+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15480" windowHeight="11640" firstSheet="6" activeTab="22"/>
  </bookViews>
  <sheets>
    <sheet name="Table 51 (2)" sheetId="1" state="hidden" r:id="rId1"/>
    <sheet name="HR _2021-22 (2)" sheetId="2" state="hidden" r:id="rId2"/>
    <sheet name="Fuel cost_24-25" sheetId="3" r:id="rId3"/>
    <sheet name="12G_24-25" sheetId="4" r:id="rId4"/>
    <sheet name="11G_24-25" sheetId="5" r:id="rId5"/>
    <sheet name="9G &amp; 10G 24-25" sheetId="6" r:id="rId6"/>
    <sheet name="8G 24-25" sheetId="7" r:id="rId7"/>
    <sheet name="7G 24-25" sheetId="8" r:id="rId8"/>
    <sheet name="6G 24-25" sheetId="9" r:id="rId9"/>
    <sheet name="5G 24-25" sheetId="10" r:id="rId10"/>
    <sheet name="3G &amp; 4G_24-25" sheetId="11" r:id="rId11"/>
    <sheet name="2G_24-25" sheetId="12" r:id="rId12"/>
    <sheet name="1G_24-25" sheetId="13" r:id="rId13"/>
    <sheet name="Table 46 (2)" sheetId="14" state="hidden" r:id="rId14"/>
    <sheet name="Table 29 (2)" sheetId="15" state="hidden" r:id="rId15"/>
    <sheet name="Table 28 (2)" sheetId="16" state="hidden" r:id="rId16"/>
    <sheet name="Table 21 (2)" sheetId="17" state="hidden" r:id="rId17"/>
    <sheet name="Table 13 (2)" sheetId="18" state="hidden" r:id="rId18"/>
    <sheet name="Table 10 (2)" sheetId="19" state="hidden" r:id="rId19"/>
    <sheet name="Table 9 (2)" sheetId="20" state="hidden" r:id="rId20"/>
    <sheet name="Table 5 (2)" sheetId="21" state="hidden" r:id="rId21"/>
    <sheet name="Table 4 (2)" sheetId="22" state="hidden" r:id="rId22"/>
    <sheet name="Tariff calc 24-25" sheetId="23" r:id="rId23"/>
    <sheet name="HR _2021-22" sheetId="24" state="hidden" r:id="rId24"/>
    <sheet name="HR _2020-21 (3)" sheetId="25" state="hidden" r:id="rId25"/>
    <sheet name="HR 14-15" sheetId="26" state="hidden" r:id="rId26"/>
    <sheet name="HR _2016-17" sheetId="27" state="hidden" r:id="rId27"/>
    <sheet name="HR _2017-18 (2)" sheetId="28" state="hidden" r:id="rId28"/>
    <sheet name="HR _2018-19" sheetId="29" state="hidden" r:id="rId29"/>
    <sheet name="HR _2019-20" sheetId="30" state="hidden" r:id="rId30"/>
    <sheet name="2000-17 (2)" sheetId="31" state="hidden" r:id="rId31"/>
    <sheet name="HR _2017-18" sheetId="32" state="hidden" r:id="rId32"/>
    <sheet name="ADDTIONAL CAPITAL COST" sheetId="33" state="hidden" r:id="rId33"/>
    <sheet name="Tariff calc 15-16 (2)" sheetId="34" state="hidden" r:id="rId34"/>
    <sheet name="Tariff calc 18-19 " sheetId="35" state="hidden" r:id="rId35"/>
    <sheet name="Fuel cost (2)" sheetId="36" state="hidden" r:id="rId36"/>
    <sheet name="12G (2)" sheetId="37" state="hidden" r:id="rId37"/>
    <sheet name="11G (3)" sheetId="38" state="hidden" r:id="rId38"/>
    <sheet name="9G &amp; 10G (3)" sheetId="39" state="hidden" r:id="rId39"/>
    <sheet name="11G (2)" sheetId="40" state="hidden" r:id="rId40"/>
    <sheet name="9G &amp; 10G (2)" sheetId="41" state="hidden" r:id="rId41"/>
    <sheet name="7G (3)" sheetId="42" state="hidden" r:id="rId42"/>
    <sheet name="3G &amp; 4G (3)" sheetId="43" state="hidden" r:id="rId43"/>
    <sheet name="2G (3)" sheetId="44" state="hidden" r:id="rId44"/>
    <sheet name="1G (3)" sheetId="45" state="hidden" r:id="rId45"/>
    <sheet name="ANNUAL PERFORMANCE REVIEW _20-2" sheetId="46" state="hidden" r:id="rId46"/>
    <sheet name="HR 20-21 (2)" sheetId="47" state="hidden" r:id="rId47"/>
    <sheet name="Table 1" sheetId="48" state="hidden" r:id="rId48"/>
    <sheet name="Table 2" sheetId="49" state="hidden" r:id="rId49"/>
    <sheet name="Table 3" sheetId="50" state="hidden" r:id="rId50"/>
    <sheet name="Table 4" sheetId="51" state="hidden" r:id="rId51"/>
    <sheet name="Table 5" sheetId="52" state="hidden" r:id="rId52"/>
    <sheet name="Table 6" sheetId="53" state="hidden" r:id="rId53"/>
    <sheet name="Table 7" sheetId="54" state="hidden" r:id="rId54"/>
    <sheet name="Table 8" sheetId="55" state="hidden" r:id="rId55"/>
    <sheet name="Table 9" sheetId="56" state="hidden" r:id="rId56"/>
    <sheet name="Table 10" sheetId="57" state="hidden" r:id="rId57"/>
    <sheet name="Table 11" sheetId="58" state="hidden" r:id="rId58"/>
    <sheet name="Table 12" sheetId="59" state="hidden" r:id="rId59"/>
    <sheet name="Table 13" sheetId="60" state="hidden" r:id="rId60"/>
    <sheet name="Table 14" sheetId="61" state="hidden" r:id="rId61"/>
    <sheet name="Table 15" sheetId="62" state="hidden" r:id="rId62"/>
    <sheet name="Table 16" sheetId="63" state="hidden" r:id="rId63"/>
    <sheet name="Table 17" sheetId="64" state="hidden" r:id="rId64"/>
    <sheet name="Table 18" sheetId="65" state="hidden" r:id="rId65"/>
    <sheet name="Table 19" sheetId="66" state="hidden" r:id="rId66"/>
    <sheet name="Table 20" sheetId="67" state="hidden" r:id="rId67"/>
    <sheet name="Table 21" sheetId="68" state="hidden" r:id="rId68"/>
    <sheet name="Table 22" sheetId="69" state="hidden" r:id="rId69"/>
    <sheet name="Table 23" sheetId="70" state="hidden" r:id="rId70"/>
    <sheet name="Table 24" sheetId="71" state="hidden" r:id="rId71"/>
    <sheet name="Table 25" sheetId="72" state="hidden" r:id="rId72"/>
    <sheet name="Table 26" sheetId="73" state="hidden" r:id="rId73"/>
    <sheet name="Table 27" sheetId="74" state="hidden" r:id="rId74"/>
    <sheet name="Table 28" sheetId="75" state="hidden" r:id="rId75"/>
    <sheet name="Table 29" sheetId="76" state="hidden" r:id="rId76"/>
    <sheet name="Table 30" sheetId="77" state="hidden" r:id="rId77"/>
    <sheet name="Table 31" sheetId="78" state="hidden" r:id="rId78"/>
    <sheet name="Table 32" sheetId="79" state="hidden" r:id="rId79"/>
    <sheet name="Table 33" sheetId="80" state="hidden" r:id="rId80"/>
    <sheet name="Table 34" sheetId="81" state="hidden" r:id="rId81"/>
    <sheet name="Table 35" sheetId="82" state="hidden" r:id="rId82"/>
    <sheet name="Table 36" sheetId="83" state="hidden" r:id="rId83"/>
    <sheet name="Table 37" sheetId="84" state="hidden" r:id="rId84"/>
    <sheet name="Table 38" sheetId="85" state="hidden" r:id="rId85"/>
    <sheet name="Table 39" sheetId="86" state="hidden" r:id="rId86"/>
    <sheet name="Table 40" sheetId="87" state="hidden" r:id="rId87"/>
    <sheet name="Table 41" sheetId="88" state="hidden" r:id="rId88"/>
    <sheet name="Table 42" sheetId="89" state="hidden" r:id="rId89"/>
    <sheet name="Table 43" sheetId="90" state="hidden" r:id="rId90"/>
    <sheet name="Table 44" sheetId="91" state="hidden" r:id="rId91"/>
    <sheet name="Table 45" sheetId="92" state="hidden" r:id="rId92"/>
    <sheet name="Table 46" sheetId="93" state="hidden" r:id="rId93"/>
    <sheet name="Table 47" sheetId="94" state="hidden" r:id="rId94"/>
    <sheet name="Table 48" sheetId="95" state="hidden" r:id="rId95"/>
    <sheet name="Table 49" sheetId="96" state="hidden" r:id="rId96"/>
    <sheet name="Table 50" sheetId="97" state="hidden" r:id="rId97"/>
    <sheet name="Table 51" sheetId="98" state="hidden" r:id="rId98"/>
  </sheets>
  <externalReferences>
    <externalReference r:id="rId101"/>
    <externalReference r:id="rId102"/>
    <externalReference r:id="rId103"/>
    <externalReference r:id="rId104"/>
    <externalReference r:id="rId105"/>
    <externalReference r:id="rId106"/>
  </externalReferences>
  <definedNames>
    <definedName name="_xlnm.Print_Area" localSheetId="39">'11G (2)'!$A$1:$J$96</definedName>
    <definedName name="_xlnm.Print_Area" localSheetId="37">'11G (3)'!$A$1:$J$96</definedName>
    <definedName name="_xlnm.Print_Area" localSheetId="4">'11G_24-25'!$A$1:$L$92</definedName>
    <definedName name="_xlnm.Print_Area" localSheetId="44">'1G (3)'!$A$1:$G$47</definedName>
    <definedName name="_xlnm.Print_Area" localSheetId="12">'1G_24-25'!$A$1:$H$46</definedName>
    <definedName name="_xlnm.Print_Area" localSheetId="30">'2000-17 (2)'!$A$1:$L$80</definedName>
    <definedName name="_xlnm.Print_Area" localSheetId="9">'5G 24-25'!$A$1:$V$39</definedName>
    <definedName name="_xlnm.Print_Area" localSheetId="41">'7G (3)'!$A$1:$Q$55</definedName>
    <definedName name="_xlnm.Print_Area" localSheetId="7">'7G 24-25'!$A$1:$Q$56</definedName>
    <definedName name="_xlnm.Print_Area" localSheetId="40">'9G &amp; 10G (2)'!$A$1:$K$43</definedName>
    <definedName name="_xlnm.Print_Area" localSheetId="38">'9G &amp; 10G (3)'!$A$1:$K$43</definedName>
    <definedName name="_xlnm.Print_Area" localSheetId="5">'9G &amp; 10G 24-25'!$A$1:$K$43</definedName>
    <definedName name="_xlnm.Print_Area" localSheetId="33">'Tariff calc 15-16 (2)'!$A$1:$K$108</definedName>
    <definedName name="_xlnm.Print_Titles" localSheetId="30">'2000-17 (2)'!$1:$5</definedName>
  </definedNames>
  <calcPr fullCalcOnLoad="1"/>
</workbook>
</file>

<file path=xl/sharedStrings.xml><?xml version="1.0" encoding="utf-8"?>
<sst xmlns="http://schemas.openxmlformats.org/spreadsheetml/2006/main" count="4974" uniqueCount="2039">
  <si>
    <r>
      <rPr>
        <b/>
        <u val="single"/>
        <sz val="12"/>
        <rFont val="Cambria"/>
        <family val="1"/>
      </rPr>
      <t xml:space="preserve">Checklist of Main Tariff Forms and other information for tariff filing for
</t>
    </r>
    <r>
      <rPr>
        <b/>
        <u val="single"/>
        <sz val="12"/>
        <rFont val="Cambria"/>
        <family val="1"/>
      </rPr>
      <t>Thermal Stations</t>
    </r>
  </si>
  <si>
    <r>
      <rPr>
        <b/>
        <sz val="12"/>
        <rFont val="Cambria"/>
        <family val="1"/>
      </rPr>
      <t>Form No.</t>
    </r>
  </si>
  <si>
    <r>
      <rPr>
        <b/>
        <sz val="12"/>
        <rFont val="Cambria"/>
        <family val="1"/>
      </rPr>
      <t>Title of Tariff Filing Forms (Thermal)</t>
    </r>
  </si>
  <si>
    <r>
      <rPr>
        <b/>
        <sz val="12"/>
        <rFont val="Cambria"/>
        <family val="1"/>
      </rPr>
      <t>Tick</t>
    </r>
  </si>
  <si>
    <r>
      <rPr>
        <b/>
        <sz val="12"/>
        <rFont val="Cambria"/>
        <family val="1"/>
      </rPr>
      <t>FORM- 1</t>
    </r>
  </si>
  <si>
    <r>
      <rPr>
        <sz val="12"/>
        <rFont val="Cambria"/>
        <family val="1"/>
      </rPr>
      <t>Summary of Tariff</t>
    </r>
  </si>
  <si>
    <r>
      <rPr>
        <b/>
        <sz val="12"/>
        <rFont val="Cambria"/>
        <family val="1"/>
      </rPr>
      <t>FORM -1 (I)</t>
    </r>
  </si>
  <si>
    <r>
      <rPr>
        <sz val="12"/>
        <rFont val="Cambria"/>
        <family val="1"/>
      </rPr>
      <t>Statement showing claimed capital cost</t>
    </r>
  </si>
  <si>
    <r>
      <rPr>
        <b/>
        <sz val="12"/>
        <rFont val="Cambria"/>
        <family val="1"/>
      </rPr>
      <t>FORM -1 (II)</t>
    </r>
  </si>
  <si>
    <r>
      <rPr>
        <sz val="12"/>
        <rFont val="Cambria"/>
        <family val="1"/>
      </rPr>
      <t>Statement showing Return on Equity</t>
    </r>
  </si>
  <si>
    <r>
      <rPr>
        <b/>
        <sz val="12"/>
        <rFont val="Cambria"/>
        <family val="1"/>
      </rPr>
      <t>FORM-2</t>
    </r>
  </si>
  <si>
    <r>
      <rPr>
        <sz val="12"/>
        <rFont val="Cambria"/>
        <family val="1"/>
      </rPr>
      <t>Plant Characteristics</t>
    </r>
  </si>
  <si>
    <r>
      <rPr>
        <b/>
        <sz val="12"/>
        <rFont val="Cambria"/>
        <family val="1"/>
      </rPr>
      <t>FORM-3</t>
    </r>
  </si>
  <si>
    <r>
      <rPr>
        <sz val="12"/>
        <rFont val="Cambria"/>
        <family val="1"/>
      </rPr>
      <t>Normative parameters considered for tariff computations</t>
    </r>
  </si>
  <si>
    <r>
      <rPr>
        <b/>
        <sz val="12"/>
        <rFont val="Cambria"/>
        <family val="1"/>
      </rPr>
      <t>FORM- 4</t>
    </r>
  </si>
  <si>
    <r>
      <rPr>
        <sz val="12"/>
        <rFont val="Cambria"/>
        <family val="1"/>
      </rPr>
      <t>Details of Foreign loans</t>
    </r>
  </si>
  <si>
    <r>
      <rPr>
        <b/>
        <sz val="12"/>
        <rFont val="Cambria"/>
        <family val="1"/>
      </rPr>
      <t>FORM- 4A</t>
    </r>
  </si>
  <si>
    <r>
      <rPr>
        <sz val="12"/>
        <rFont val="Cambria"/>
        <family val="1"/>
      </rPr>
      <t>Details of Foreign Equity</t>
    </r>
  </si>
  <si>
    <r>
      <rPr>
        <b/>
        <sz val="12"/>
        <rFont val="Cambria"/>
        <family val="1"/>
      </rPr>
      <t>FORM-5</t>
    </r>
  </si>
  <si>
    <r>
      <rPr>
        <sz val="12"/>
        <rFont val="Cambria"/>
        <family val="1"/>
      </rPr>
      <t>Abstract of Admitted Capital Cost for the existing Projects</t>
    </r>
  </si>
  <si>
    <r>
      <rPr>
        <b/>
        <sz val="12"/>
        <rFont val="Cambria"/>
        <family val="1"/>
      </rPr>
      <t>FORM- 6</t>
    </r>
  </si>
  <si>
    <r>
      <rPr>
        <sz val="12"/>
        <rFont val="Cambria"/>
        <family val="1"/>
      </rPr>
      <t>Financial Package upto COD</t>
    </r>
  </si>
  <si>
    <r>
      <rPr>
        <b/>
        <sz val="12"/>
        <rFont val="Cambria"/>
        <family val="1"/>
      </rPr>
      <t>FORM- 7</t>
    </r>
  </si>
  <si>
    <r>
      <rPr>
        <sz val="12"/>
        <rFont val="Cambria"/>
        <family val="1"/>
      </rPr>
      <t>Details of Project Specific Loans</t>
    </r>
  </si>
  <si>
    <r>
      <rPr>
        <b/>
        <sz val="12"/>
        <rFont val="Cambria"/>
        <family val="1"/>
      </rPr>
      <t>FORM- 8</t>
    </r>
  </si>
  <si>
    <r>
      <rPr>
        <sz val="12"/>
        <rFont val="Cambria"/>
        <family val="1"/>
      </rPr>
      <t>Details of Allocation of corporate loans to various projects</t>
    </r>
  </si>
  <si>
    <r>
      <rPr>
        <b/>
        <sz val="12"/>
        <rFont val="Cambria"/>
        <family val="1"/>
      </rPr>
      <t>FORM-9</t>
    </r>
  </si>
  <si>
    <r>
      <rPr>
        <sz val="12"/>
        <rFont val="Cambria"/>
        <family val="1"/>
      </rPr>
      <t>Statement of Additional Capitalisation after COD</t>
    </r>
  </si>
  <si>
    <r>
      <rPr>
        <b/>
        <sz val="12"/>
        <rFont val="Cambria"/>
        <family val="1"/>
      </rPr>
      <t>FORM- 10</t>
    </r>
  </si>
  <si>
    <r>
      <rPr>
        <sz val="12"/>
        <rFont val="Cambria"/>
        <family val="1"/>
      </rPr>
      <t>Financing of Additional Capitalisation</t>
    </r>
  </si>
  <si>
    <r>
      <rPr>
        <b/>
        <sz val="12"/>
        <rFont val="Cambria"/>
        <family val="1"/>
      </rPr>
      <t>FORM- 11</t>
    </r>
  </si>
  <si>
    <r>
      <rPr>
        <sz val="12"/>
        <rFont val="Cambria"/>
        <family val="1"/>
      </rPr>
      <t>Calculation of Depreciation on original project cost</t>
    </r>
  </si>
  <si>
    <r>
      <rPr>
        <b/>
        <sz val="12"/>
        <rFont val="Cambria"/>
        <family val="1"/>
      </rPr>
      <t>FORM- 12</t>
    </r>
  </si>
  <si>
    <r>
      <rPr>
        <sz val="12"/>
        <rFont val="Cambria"/>
        <family val="1"/>
      </rPr>
      <t>Statement of Depreciation</t>
    </r>
  </si>
  <si>
    <r>
      <rPr>
        <b/>
        <sz val="12"/>
        <rFont val="Cambria"/>
        <family val="1"/>
      </rPr>
      <t>FORM- 13</t>
    </r>
  </si>
  <si>
    <r>
      <rPr>
        <sz val="12"/>
        <rFont val="Cambria"/>
        <family val="1"/>
      </rPr>
      <t>Calculation of Weighted Average Rate of Interest on Actual Loans</t>
    </r>
  </si>
  <si>
    <r>
      <rPr>
        <b/>
        <sz val="12"/>
        <rFont val="Cambria"/>
        <family val="1"/>
      </rPr>
      <t>FORM- 14</t>
    </r>
  </si>
  <si>
    <r>
      <rPr>
        <sz val="12"/>
        <rFont val="Cambria"/>
        <family val="1"/>
      </rPr>
      <t xml:space="preserve">Draw   Down   Schedule   for   Calculation   of   IDC   &amp;   Financing
</t>
    </r>
    <r>
      <rPr>
        <sz val="12"/>
        <rFont val="Cambria"/>
        <family val="1"/>
      </rPr>
      <t>Charges</t>
    </r>
  </si>
  <si>
    <r>
      <rPr>
        <b/>
        <sz val="12"/>
        <rFont val="Cambria"/>
        <family val="1"/>
      </rPr>
      <t>FORM- 15</t>
    </r>
  </si>
  <si>
    <r>
      <rPr>
        <sz val="12"/>
        <rFont val="Cambria"/>
        <family val="1"/>
      </rPr>
      <t>Details of Fuel for Computation of Energy Charges</t>
    </r>
    <r>
      <rPr>
        <vertAlign val="superscript"/>
        <sz val="8"/>
        <rFont val="Cambria"/>
        <family val="1"/>
      </rPr>
      <t>1</t>
    </r>
  </si>
  <si>
    <r>
      <rPr>
        <b/>
        <sz val="12"/>
        <rFont val="Cambria"/>
        <family val="1"/>
      </rPr>
      <t>FORM- 16</t>
    </r>
  </si>
  <si>
    <r>
      <rPr>
        <sz val="12"/>
        <rFont val="Cambria"/>
        <family val="1"/>
      </rPr>
      <t>Details of Limestone for Computation of Energy Charge Rate</t>
    </r>
  </si>
  <si>
    <r>
      <rPr>
        <b/>
        <sz val="12"/>
        <rFont val="Cambria"/>
        <family val="1"/>
      </rPr>
      <t>FORM-17</t>
    </r>
  </si>
  <si>
    <r>
      <rPr>
        <sz val="12"/>
        <rFont val="Cambria"/>
        <family val="1"/>
      </rPr>
      <t>Details of Capital Spares</t>
    </r>
  </si>
  <si>
    <r>
      <rPr>
        <b/>
        <sz val="12"/>
        <rFont val="Cambria"/>
        <family val="1"/>
      </rPr>
      <t>FORM- 18</t>
    </r>
  </si>
  <si>
    <r>
      <rPr>
        <sz val="12"/>
        <rFont val="Cambria"/>
        <family val="1"/>
      </rPr>
      <t>Non-Tariff Income</t>
    </r>
  </si>
  <si>
    <r>
      <rPr>
        <b/>
        <sz val="12"/>
        <rFont val="Cambria"/>
        <family val="1"/>
      </rPr>
      <t>FORM-19</t>
    </r>
  </si>
  <si>
    <r>
      <rPr>
        <sz val="12"/>
        <rFont val="Cambria"/>
        <family val="1"/>
      </rPr>
      <t>Details of Water Charges</t>
    </r>
  </si>
  <si>
    <r>
      <rPr>
        <b/>
        <sz val="12"/>
        <rFont val="Cambria"/>
        <family val="1"/>
      </rPr>
      <t>FORM-20</t>
    </r>
  </si>
  <si>
    <r>
      <rPr>
        <sz val="12"/>
        <rFont val="Cambria"/>
        <family val="1"/>
      </rPr>
      <t>Details of Statutory Charges</t>
    </r>
  </si>
  <si>
    <r>
      <rPr>
        <b/>
        <sz val="12"/>
        <rFont val="Cambria"/>
        <family val="1"/>
      </rPr>
      <t xml:space="preserve">PART-I
</t>
    </r>
    <r>
      <rPr>
        <b/>
        <u val="single"/>
        <sz val="12"/>
        <rFont val="Cambria"/>
        <family val="1"/>
      </rPr>
      <t>List of Supporting Forms / documents for tariff filing for</t>
    </r>
    <r>
      <rPr>
        <b/>
        <sz val="12"/>
        <rFont val="Cambria"/>
        <family val="1"/>
      </rPr>
      <t xml:space="preserve"> </t>
    </r>
    <r>
      <rPr>
        <b/>
        <u val="single"/>
        <sz val="12"/>
        <rFont val="Cambria"/>
        <family val="1"/>
      </rPr>
      <t>Thermal Stations</t>
    </r>
  </si>
  <si>
    <r>
      <rPr>
        <b/>
        <sz val="12"/>
        <rFont val="Cambria"/>
        <family val="1"/>
      </rPr>
      <t>FORM-A</t>
    </r>
  </si>
  <si>
    <r>
      <rPr>
        <sz val="12"/>
        <rFont val="Cambria"/>
        <family val="1"/>
      </rPr>
      <t>Abstract of Capital Cost Estimates</t>
    </r>
  </si>
  <si>
    <r>
      <rPr>
        <b/>
        <sz val="12"/>
        <rFont val="Cambria"/>
        <family val="1"/>
      </rPr>
      <t>FORM-B</t>
    </r>
  </si>
  <si>
    <r>
      <rPr>
        <sz val="12"/>
        <rFont val="Cambria"/>
        <family val="1"/>
      </rPr>
      <t>Break-up of Capital Cost for Coal/Lignite based projects</t>
    </r>
  </si>
  <si>
    <r>
      <rPr>
        <b/>
        <sz val="12"/>
        <rFont val="Cambria"/>
        <family val="1"/>
      </rPr>
      <t>FORM-C</t>
    </r>
  </si>
  <si>
    <r>
      <rPr>
        <sz val="12"/>
        <rFont val="Cambria"/>
        <family val="1"/>
      </rPr>
      <t>Break-up of Capital Cost for Gas/Liquid fuel based Projects</t>
    </r>
  </si>
  <si>
    <r>
      <rPr>
        <b/>
        <sz val="12"/>
        <rFont val="Cambria"/>
        <family val="1"/>
      </rPr>
      <t>FORM-D</t>
    </r>
  </si>
  <si>
    <r>
      <rPr>
        <sz val="12"/>
        <rFont val="Cambria"/>
        <family val="1"/>
      </rPr>
      <t>Break-up of Construction/Supply/Service packages</t>
    </r>
  </si>
  <si>
    <r>
      <rPr>
        <b/>
        <sz val="12"/>
        <rFont val="Cambria"/>
        <family val="1"/>
      </rPr>
      <t>FORM-E</t>
    </r>
  </si>
  <si>
    <r>
      <rPr>
        <sz val="12"/>
        <rFont val="Cambria"/>
        <family val="1"/>
      </rPr>
      <t xml:space="preserve">Details of variables , parameters , optional package  etc. for  New
</t>
    </r>
    <r>
      <rPr>
        <sz val="12"/>
        <rFont val="Cambria"/>
        <family val="1"/>
      </rPr>
      <t>Project</t>
    </r>
  </si>
  <si>
    <r>
      <rPr>
        <b/>
        <sz val="12"/>
        <rFont val="Cambria"/>
        <family val="1"/>
      </rPr>
      <t>FORM-F</t>
    </r>
  </si>
  <si>
    <r>
      <rPr>
        <sz val="12"/>
        <rFont val="Cambria"/>
        <family val="1"/>
      </rPr>
      <t>Details of cost over run</t>
    </r>
  </si>
  <si>
    <r>
      <rPr>
        <b/>
        <sz val="12"/>
        <rFont val="Cambria"/>
        <family val="1"/>
      </rPr>
      <t>FORM-G</t>
    </r>
  </si>
  <si>
    <r>
      <rPr>
        <sz val="12"/>
        <rFont val="Cambria"/>
        <family val="1"/>
      </rPr>
      <t>Details of time over run</t>
    </r>
  </si>
  <si>
    <r>
      <rPr>
        <b/>
        <sz val="12"/>
        <rFont val="Cambria"/>
        <family val="1"/>
      </rPr>
      <t>FORM –H</t>
    </r>
  </si>
  <si>
    <r>
      <rPr>
        <sz val="12"/>
        <rFont val="Cambria"/>
        <family val="1"/>
      </rPr>
      <t>Statement of Additional Capitalisation during end of the useful life</t>
    </r>
  </si>
  <si>
    <r>
      <rPr>
        <b/>
        <sz val="12"/>
        <rFont val="Cambria"/>
        <family val="1"/>
      </rPr>
      <t>FORM –I</t>
    </r>
  </si>
  <si>
    <r>
      <rPr>
        <sz val="12"/>
        <rFont val="Cambria"/>
        <family val="1"/>
      </rPr>
      <t>Details of Assets De-capitalised during the period</t>
    </r>
  </si>
  <si>
    <r>
      <rPr>
        <b/>
        <sz val="12"/>
        <rFont val="Cambria"/>
        <family val="1"/>
      </rPr>
      <t>FORM –J</t>
    </r>
  </si>
  <si>
    <r>
      <rPr>
        <sz val="12"/>
        <rFont val="Cambria"/>
        <family val="1"/>
      </rPr>
      <t>Reconciliation of Capitalisation claimed vis-à-vis books of accounts</t>
    </r>
  </si>
  <si>
    <r>
      <rPr>
        <b/>
        <sz val="12"/>
        <rFont val="Cambria"/>
        <family val="1"/>
      </rPr>
      <t>FORM –K</t>
    </r>
  </si>
  <si>
    <r>
      <rPr>
        <sz val="12"/>
        <rFont val="Cambria"/>
        <family val="1"/>
      </rPr>
      <t xml:space="preserve">Statement showing details of items/assets/works claimed under
</t>
    </r>
    <r>
      <rPr>
        <sz val="12"/>
        <rFont val="Cambria"/>
        <family val="1"/>
      </rPr>
      <t>Exclusions</t>
    </r>
  </si>
  <si>
    <r>
      <rPr>
        <b/>
        <sz val="12"/>
        <rFont val="Cambria"/>
        <family val="1"/>
      </rPr>
      <t>FORM-L</t>
    </r>
  </si>
  <si>
    <r>
      <rPr>
        <sz val="12"/>
        <rFont val="Cambria"/>
        <family val="1"/>
      </rPr>
      <t>Statement of Capital cost</t>
    </r>
  </si>
  <si>
    <r>
      <rPr>
        <b/>
        <sz val="12"/>
        <rFont val="Cambria"/>
        <family val="1"/>
      </rPr>
      <t>FORM-M</t>
    </r>
  </si>
  <si>
    <r>
      <rPr>
        <sz val="12"/>
        <rFont val="Cambria"/>
        <family val="1"/>
      </rPr>
      <t>Statement of Capital Woks in Progress</t>
    </r>
  </si>
  <si>
    <r>
      <rPr>
        <b/>
        <sz val="12"/>
        <rFont val="Cambria"/>
        <family val="1"/>
      </rPr>
      <t>FORM-N</t>
    </r>
  </si>
  <si>
    <r>
      <rPr>
        <sz val="12"/>
        <rFont val="Cambria"/>
        <family val="1"/>
      </rPr>
      <t>Calculation of Interest on Normative Loan</t>
    </r>
  </si>
  <si>
    <r>
      <rPr>
        <b/>
        <sz val="12"/>
        <rFont val="Cambria"/>
        <family val="1"/>
      </rPr>
      <t>FORM-O</t>
    </r>
  </si>
  <si>
    <r>
      <rPr>
        <sz val="12"/>
        <rFont val="Cambria"/>
        <family val="1"/>
      </rPr>
      <t>Calculation of Interest on Working Capital</t>
    </r>
  </si>
  <si>
    <r>
      <rPr>
        <b/>
        <sz val="12"/>
        <rFont val="Cambria"/>
        <family val="1"/>
      </rPr>
      <t>FORM-P</t>
    </r>
  </si>
  <si>
    <r>
      <rPr>
        <sz val="12"/>
        <rFont val="Cambria"/>
        <family val="1"/>
      </rPr>
      <t>Incidental Expenditure up to SCOD and up to Actual COD</t>
    </r>
  </si>
  <si>
    <r>
      <rPr>
        <b/>
        <sz val="12"/>
        <rFont val="Cambria"/>
        <family val="1"/>
      </rPr>
      <t>FORM-Q</t>
    </r>
  </si>
  <si>
    <r>
      <rPr>
        <sz val="12"/>
        <rFont val="Cambria"/>
        <family val="1"/>
      </rPr>
      <t xml:space="preserve">Expenditure  under  different  packages  up  to  SCOD  and  up  to  Actual
</t>
    </r>
    <r>
      <rPr>
        <sz val="12"/>
        <rFont val="Cambria"/>
        <family val="1"/>
      </rPr>
      <t>COD</t>
    </r>
  </si>
  <si>
    <r>
      <rPr>
        <b/>
        <sz val="12"/>
        <rFont val="Cambria"/>
        <family val="1"/>
      </rPr>
      <t>FORM-R</t>
    </r>
  </si>
  <si>
    <r>
      <rPr>
        <sz val="12"/>
        <rFont val="Cambria"/>
        <family val="1"/>
      </rPr>
      <t>Actual cash expenditure</t>
    </r>
  </si>
  <si>
    <r>
      <rPr>
        <b/>
        <sz val="12"/>
        <rFont val="Cambria"/>
        <family val="1"/>
      </rPr>
      <t>FORM-S</t>
    </r>
  </si>
  <si>
    <r>
      <rPr>
        <sz val="12"/>
        <rFont val="Cambria"/>
        <family val="1"/>
      </rPr>
      <t>Statement of Liability flow</t>
    </r>
  </si>
  <si>
    <r>
      <rPr>
        <b/>
        <sz val="12"/>
        <rFont val="Cambria"/>
        <family val="1"/>
      </rPr>
      <t>FORM-T</t>
    </r>
  </si>
  <si>
    <r>
      <rPr>
        <sz val="12"/>
        <rFont val="Cambria"/>
        <family val="1"/>
      </rPr>
      <t>Summary of issues involved in the petition</t>
    </r>
  </si>
  <si>
    <r>
      <rPr>
        <b/>
        <u val="single"/>
        <sz val="12"/>
        <rFont val="Cambria"/>
        <family val="1"/>
      </rPr>
      <t>List of supporting documents for tariff filing for Thermal Stations</t>
    </r>
  </si>
  <si>
    <r>
      <rPr>
        <b/>
        <sz val="12"/>
        <rFont val="Cambria"/>
        <family val="1"/>
      </rPr>
      <t>S. No.</t>
    </r>
  </si>
  <si>
    <r>
      <rPr>
        <b/>
        <sz val="12"/>
        <rFont val="Cambria"/>
        <family val="1"/>
      </rPr>
      <t>Information / Document</t>
    </r>
  </si>
  <si>
    <r>
      <rPr>
        <sz val="12"/>
        <rFont val="Cambria"/>
        <family val="1"/>
      </rPr>
      <t xml:space="preserve">Certificate of incorporation, Certificate for Commencement of Business, Memorandum of  Association, &amp; Articles of Association ( For New Station
</t>
    </r>
    <r>
      <rPr>
        <sz val="12"/>
        <rFont val="Cambria"/>
        <family val="1"/>
      </rPr>
      <t>setup by a company making tariff application for the first time to CERC)</t>
    </r>
  </si>
  <si>
    <r>
      <rPr>
        <sz val="12"/>
        <rFont val="Cambria"/>
        <family val="1"/>
      </rPr>
      <t xml:space="preserve">A.  Station   wise   and   Corporate  audited   Balance   Sheet   and   Profit   &amp;   Loss Accounts  with  all  the  Schedules  &amp;  annexures  on  COD  of  the  Station  for the new station &amp; for the relevant years.
</t>
    </r>
    <r>
      <rPr>
        <sz val="12"/>
        <rFont val="Cambria"/>
        <family val="1"/>
      </rPr>
      <t xml:space="preserve">B.   Station   wise   and   Corporate  audited   Balance   Sheet   and   Profit   &amp;   Loss Accounts  with  all  the  Schedules  &amp;  annexures  for  the  existing  station  for
</t>
    </r>
    <r>
      <rPr>
        <sz val="12"/>
        <rFont val="Cambria"/>
        <family val="1"/>
      </rPr>
      <t>relevant years.</t>
    </r>
  </si>
  <si>
    <r>
      <rPr>
        <sz val="12"/>
        <rFont val="Cambria"/>
        <family val="1"/>
      </rPr>
      <t>Copies of relevant loan Agreements</t>
    </r>
  </si>
  <si>
    <r>
      <rPr>
        <sz val="12"/>
        <rFont val="Cambria"/>
        <family val="1"/>
      </rPr>
      <t xml:space="preserve">Copies of the approval of Competent Authority for the Capital Cost and
</t>
    </r>
    <r>
      <rPr>
        <sz val="12"/>
        <rFont val="Cambria"/>
        <family val="1"/>
      </rPr>
      <t>Financial package.</t>
    </r>
  </si>
  <si>
    <r>
      <rPr>
        <sz val="12"/>
        <rFont val="Cambria"/>
        <family val="1"/>
      </rPr>
      <t xml:space="preserve">Copies of the Equity participation agreements and necessary approval for the
</t>
    </r>
    <r>
      <rPr>
        <sz val="12"/>
        <rFont val="Cambria"/>
        <family val="1"/>
      </rPr>
      <t>foreign equity.</t>
    </r>
  </si>
  <si>
    <r>
      <rPr>
        <sz val="12"/>
        <rFont val="Cambria"/>
        <family val="1"/>
      </rPr>
      <t>Copies of the BPSA/PPA with the beneficiaries, if any</t>
    </r>
  </si>
  <si>
    <r>
      <rPr>
        <sz val="12"/>
        <rFont val="Cambria"/>
        <family val="1"/>
      </rPr>
      <t xml:space="preserve">Detailed note giving reasons of cost and time over run, if applicable. List of supporting documents to be submitted:
</t>
    </r>
    <r>
      <rPr>
        <sz val="12"/>
        <rFont val="Cambria"/>
        <family val="1"/>
      </rPr>
      <t xml:space="preserve">a.   Detailed Project Report
</t>
    </r>
    <r>
      <rPr>
        <sz val="12"/>
        <rFont val="Cambria"/>
        <family val="1"/>
      </rPr>
      <t xml:space="preserve">b.   CPM Analysis
</t>
    </r>
    <r>
      <rPr>
        <sz val="12"/>
        <rFont val="Cambria"/>
        <family val="1"/>
      </rPr>
      <t xml:space="preserve">c.    PERT Chart and Bar Chart
</t>
    </r>
    <r>
      <rPr>
        <sz val="12"/>
        <rFont val="Cambria"/>
        <family val="1"/>
      </rPr>
      <t>d.   Justification for cost and time Overrun</t>
    </r>
  </si>
  <si>
    <r>
      <rPr>
        <sz val="12"/>
        <rFont val="Cambria"/>
        <family val="1"/>
      </rPr>
      <t xml:space="preserve">Generating Company shall submit copy of Cost Audit Report along with cost accounting records, cost details, statements, schedules etc. for the Generating Unit   wise   /stage   wise/Station   wise/   and   subsequently   consolidated   at Company level as submitted to the Govt. of India for first two years i.e. 2019- 20  and  2020-21  at  the  time  of  mid-term  true-up  in  2021-22  and  for  balance period of tariff period 2019-24 at the time of final true-up in 2024-25. In case of
</t>
    </r>
    <r>
      <rPr>
        <sz val="12"/>
        <rFont val="Cambria"/>
        <family val="1"/>
      </rPr>
      <t>initial tariff filing the latest available Cost Audit Report should be furnished.</t>
    </r>
  </si>
  <si>
    <r>
      <rPr>
        <sz val="12"/>
        <rFont val="Cambria"/>
        <family val="1"/>
      </rPr>
      <t>Any other relevant information, (Please specify)</t>
    </r>
  </si>
  <si>
    <r>
      <rPr>
        <sz val="12"/>
        <rFont val="Cambria"/>
        <family val="1"/>
      </rPr>
      <t xml:space="preserve">Reconciliation with Balance sheet of any actual additional capitalization and
</t>
    </r>
    <r>
      <rPr>
        <sz val="12"/>
        <rFont val="Cambria"/>
        <family val="1"/>
      </rPr>
      <t>amongst stages of a generating station</t>
    </r>
  </si>
  <si>
    <r>
      <rPr>
        <sz val="12"/>
        <rFont val="Cambria"/>
        <family val="1"/>
      </rPr>
      <t xml:space="preserve">BBMB is maintaining the records as per the relevant applicable Acts. Formats specified herein may not be suitable to the available information with BBMB. BBMB may modify the  formats suitably  as per available information to  them
</t>
    </r>
    <r>
      <rPr>
        <sz val="12"/>
        <rFont val="Cambria"/>
        <family val="1"/>
      </rPr>
      <t>for submission of required information for tariff purpose.</t>
    </r>
  </si>
  <si>
    <r>
      <rPr>
        <sz val="12"/>
        <rFont val="Cambria"/>
        <family val="1"/>
      </rPr>
      <t>Note    1: Electronic copy of the petition (in words format) and detailed calculation as per these formats (in excel format) and any other information submitted has to  be uploaded in the e-filing website  and shall also be furnished in pen drive/flash drive.</t>
    </r>
  </si>
  <si>
    <r>
      <rPr>
        <b/>
        <u val="single"/>
        <sz val="12"/>
        <rFont val="Cambria"/>
        <family val="1"/>
      </rPr>
      <t>Summary of Tariff</t>
    </r>
  </si>
  <si>
    <r>
      <rPr>
        <b/>
        <sz val="12"/>
        <rFont val="Cambria"/>
        <family val="1"/>
      </rPr>
      <t xml:space="preserve">PART-I
</t>
    </r>
    <r>
      <rPr>
        <b/>
        <sz val="12"/>
        <rFont val="Cambria"/>
        <family val="1"/>
      </rPr>
      <t>FORM- 1</t>
    </r>
  </si>
  <si>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xml:space="preserve">                                                                         
</t>
    </r>
    <r>
      <rPr>
        <b/>
        <sz val="12"/>
        <rFont val="Cambria"/>
        <family val="1"/>
      </rPr>
      <t>Place (Region/District/State):</t>
    </r>
  </si>
  <si>
    <r>
      <rPr>
        <b/>
        <sz val="12"/>
        <rFont val="Cambria"/>
        <family val="1"/>
      </rPr>
      <t>Particulars</t>
    </r>
  </si>
  <si>
    <r>
      <rPr>
        <b/>
        <sz val="12"/>
        <rFont val="Cambria"/>
        <family val="1"/>
      </rPr>
      <t>Unit</t>
    </r>
  </si>
  <si>
    <r>
      <rPr>
        <b/>
        <sz val="12"/>
        <rFont val="Cambria"/>
        <family val="1"/>
      </rPr>
      <t xml:space="preserve">Existing
</t>
    </r>
    <r>
      <rPr>
        <b/>
        <sz val="12"/>
        <rFont val="Cambria"/>
        <family val="1"/>
      </rPr>
      <t>2018-19</t>
    </r>
  </si>
  <si>
    <r>
      <rPr>
        <b/>
        <sz val="12"/>
        <rFont val="Cambria"/>
        <family val="1"/>
      </rPr>
      <t>2019-20</t>
    </r>
  </si>
  <si>
    <r>
      <rPr>
        <b/>
        <sz val="12"/>
        <rFont val="Cambria"/>
        <family val="1"/>
      </rPr>
      <t>2020-21</t>
    </r>
  </si>
  <si>
    <r>
      <rPr>
        <b/>
        <sz val="12"/>
        <rFont val="Cambria"/>
        <family val="1"/>
      </rPr>
      <t>2021-22</t>
    </r>
  </si>
  <si>
    <r>
      <rPr>
        <b/>
        <sz val="12"/>
        <rFont val="Cambria"/>
        <family val="1"/>
      </rPr>
      <t>2022-23</t>
    </r>
  </si>
  <si>
    <r>
      <rPr>
        <b/>
        <sz val="12"/>
        <rFont val="Cambria"/>
        <family val="1"/>
      </rPr>
      <t>2023-24</t>
    </r>
  </si>
  <si>
    <r>
      <rPr>
        <sz val="12"/>
        <rFont val="Cambria"/>
        <family val="1"/>
      </rPr>
      <t>Depreciation</t>
    </r>
  </si>
  <si>
    <r>
      <rPr>
        <sz val="12"/>
        <rFont val="Cambria"/>
        <family val="1"/>
      </rPr>
      <t>Rs Lakh</t>
    </r>
  </si>
  <si>
    <r>
      <rPr>
        <sz val="12"/>
        <rFont val="Cambria"/>
        <family val="1"/>
      </rPr>
      <t>Interest on Loan</t>
    </r>
  </si>
  <si>
    <r>
      <rPr>
        <sz val="12"/>
        <rFont val="Cambria"/>
        <family val="1"/>
      </rPr>
      <t>Return on Equity</t>
    </r>
    <r>
      <rPr>
        <vertAlign val="superscript"/>
        <sz val="8"/>
        <rFont val="Cambria"/>
        <family val="1"/>
      </rPr>
      <t>1</t>
    </r>
  </si>
  <si>
    <r>
      <rPr>
        <sz val="12"/>
        <rFont val="Cambria"/>
        <family val="1"/>
      </rPr>
      <t>Interest on Working Capital</t>
    </r>
  </si>
  <si>
    <r>
      <rPr>
        <sz val="12"/>
        <rFont val="Cambria"/>
        <family val="1"/>
      </rPr>
      <t>O&amp;M Expenses</t>
    </r>
  </si>
  <si>
    <r>
      <rPr>
        <sz val="12"/>
        <rFont val="Cambria"/>
        <family val="1"/>
      </rPr>
      <t>Special Allowance (If applicable)</t>
    </r>
  </si>
  <si>
    <r>
      <rPr>
        <sz val="12"/>
        <rFont val="Cambria"/>
        <family val="1"/>
      </rPr>
      <t xml:space="preserve">Compensation Allowance (If applicable –
</t>
    </r>
    <r>
      <rPr>
        <sz val="12"/>
        <rFont val="Cambria"/>
        <family val="1"/>
      </rPr>
      <t>relevant for column 4 only)</t>
    </r>
  </si>
  <si>
    <r>
      <rPr>
        <sz val="12"/>
        <rFont val="Cambria"/>
        <family val="1"/>
      </rPr>
      <t>Rs. Lakh</t>
    </r>
  </si>
  <si>
    <r>
      <rPr>
        <b/>
        <sz val="12"/>
        <rFont val="Cambria"/>
        <family val="1"/>
      </rPr>
      <t>Total</t>
    </r>
  </si>
  <si>
    <r>
      <rPr>
        <sz val="12"/>
        <rFont val="Cambria"/>
        <family val="1"/>
      </rPr>
      <t xml:space="preserve">Landed Fuel Cost  (coal/gas/RLNG/ liquid)
</t>
    </r>
    <r>
      <rPr>
        <sz val="12"/>
        <rFont val="Cambria"/>
        <family val="1"/>
      </rPr>
      <t>as per FSA approved by beneficiaries</t>
    </r>
  </si>
  <si>
    <r>
      <rPr>
        <sz val="12"/>
        <rFont val="Cambria"/>
        <family val="1"/>
      </rPr>
      <t>Rs/Ton</t>
    </r>
  </si>
  <si>
    <r>
      <rPr>
        <sz val="12"/>
        <rFont val="Cambria"/>
        <family val="1"/>
      </rPr>
      <t>(%) of Fuel Quantity</t>
    </r>
  </si>
  <si>
    <r>
      <rPr>
        <sz val="12"/>
        <rFont val="Cambria"/>
        <family val="1"/>
      </rPr>
      <t>(%)</t>
    </r>
  </si>
  <si>
    <r>
      <rPr>
        <sz val="12"/>
        <rFont val="Cambria"/>
        <family val="1"/>
      </rPr>
      <t xml:space="preserve">Landed Fuel Cost  Imported Coal as per FSA
</t>
    </r>
    <r>
      <rPr>
        <sz val="12"/>
        <rFont val="Cambria"/>
        <family val="1"/>
      </rPr>
      <t>approved by beneficiaries</t>
    </r>
  </si>
  <si>
    <r>
      <rPr>
        <sz val="12"/>
        <rFont val="Cambria"/>
        <family val="1"/>
      </rPr>
      <t xml:space="preserve">Landed Fuel Cost  ( coal/gas
</t>
    </r>
    <r>
      <rPr>
        <sz val="12"/>
        <rFont val="Cambria"/>
        <family val="1"/>
      </rPr>
      <t>/RLNG/liquid) other than FSA</t>
    </r>
  </si>
  <si>
    <r>
      <rPr>
        <sz val="12"/>
        <rFont val="Cambria"/>
        <family val="1"/>
      </rPr>
      <t xml:space="preserve">Landed Fuel Cost Imported Coal other than
</t>
    </r>
    <r>
      <rPr>
        <sz val="12"/>
        <rFont val="Cambria"/>
        <family val="1"/>
      </rPr>
      <t>FSA.</t>
    </r>
  </si>
  <si>
    <r>
      <rPr>
        <sz val="12"/>
        <rFont val="Cambria"/>
        <family val="1"/>
      </rPr>
      <t>Secondary fuel  oil cost</t>
    </r>
  </si>
  <si>
    <r>
      <rPr>
        <sz val="12"/>
        <rFont val="Cambria"/>
        <family val="1"/>
      </rPr>
      <t>Rs/Unit</t>
    </r>
  </si>
  <si>
    <r>
      <rPr>
        <sz val="12"/>
        <rFont val="Cambria"/>
        <family val="1"/>
      </rPr>
      <t xml:space="preserve">Energy Charge Rate ex-bus (Paise/kWh) </t>
    </r>
    <r>
      <rPr>
        <vertAlign val="superscript"/>
        <sz val="8"/>
        <rFont val="Cambria"/>
        <family val="1"/>
      </rPr>
      <t xml:space="preserve">2A, </t>
    </r>
    <r>
      <rPr>
        <sz val="8"/>
        <rFont val="Cambria"/>
        <family val="1"/>
      </rPr>
      <t>2B, 2C, 2D</t>
    </r>
  </si>
  <si>
    <r>
      <rPr>
        <b/>
        <sz val="12"/>
        <rFont val="Cambria"/>
        <family val="1"/>
      </rPr>
      <t>(Petitioner)</t>
    </r>
  </si>
  <si>
    <r>
      <rPr>
        <sz val="12"/>
        <rFont val="Cambria"/>
        <family val="1"/>
      </rPr>
      <t xml:space="preserve">Note:
</t>
    </r>
    <r>
      <rPr>
        <sz val="12"/>
        <rFont val="Cambria"/>
        <family val="1"/>
      </rPr>
      <t xml:space="preserve">1. Details of calculations, considering equity as per regulation, to be furnished.
</t>
    </r>
    <r>
      <rPr>
        <sz val="12"/>
        <rFont val="Cambria"/>
        <family val="1"/>
      </rPr>
      <t xml:space="preserve">2A. If multi fuel is used simultaneously, give 2 in respect of every fuel individually.
</t>
    </r>
    <r>
      <rPr>
        <sz val="12"/>
        <rFont val="Cambria"/>
        <family val="1"/>
      </rPr>
      <t xml:space="preserve">2B. The rate of energy charge shall be computed for open cycle operation and combined cycle operation separately in case of gas/liquid fuel fired plants.
</t>
    </r>
    <r>
      <rPr>
        <sz val="12"/>
        <rFont val="Cambria"/>
        <family val="1"/>
      </rPr>
      <t xml:space="preserve">2C. The total energy charge shall be worked out based on ex-bus energy scheduled to be sent out.
</t>
    </r>
    <r>
      <rPr>
        <sz val="12"/>
        <rFont val="Cambria"/>
        <family val="1"/>
      </rPr>
      <t>2D. The Energy Charge rate for the month shall be based on fuel cost(s) and GCV(s) for the month as per Regulation 43. 2E. In case breakup is not available for 2.1 to 2.5, consolidated statement needs to be submitted.</t>
    </r>
  </si>
  <si>
    <r>
      <rPr>
        <b/>
        <sz val="12"/>
        <rFont val="Cambria"/>
        <family val="1"/>
      </rPr>
      <t xml:space="preserve">PART-I FORM-1(I)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</si>
  <si>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u val="single"/>
        <sz val="12"/>
        <rFont val="Cambria"/>
        <family val="1"/>
      </rPr>
      <t>Statement showing claimed capital cost – (A+B)</t>
    </r>
  </si>
  <si>
    <r>
      <rPr>
        <sz val="12"/>
        <rFont val="Cambria"/>
        <family val="1"/>
      </rPr>
      <t>Opening Capital Cost</t>
    </r>
  </si>
  <si>
    <r>
      <rPr>
        <sz val="12"/>
        <rFont val="Cambria"/>
        <family val="1"/>
      </rPr>
      <t>Add: Addition during the year/period</t>
    </r>
  </si>
  <si>
    <r>
      <rPr>
        <sz val="12"/>
        <rFont val="Cambria"/>
        <family val="1"/>
      </rPr>
      <t>Less: De-capitalisation during the year/period</t>
    </r>
  </si>
  <si>
    <r>
      <rPr>
        <sz val="12"/>
        <rFont val="Cambria"/>
        <family val="1"/>
      </rPr>
      <t>Less: Reversal during the year / period</t>
    </r>
  </si>
  <si>
    <r>
      <rPr>
        <sz val="12"/>
        <rFont val="Cambria"/>
        <family val="1"/>
      </rPr>
      <t>Add: Discharges during the year/ period</t>
    </r>
  </si>
  <si>
    <r>
      <rPr>
        <b/>
        <sz val="12"/>
        <rFont val="Cambria"/>
        <family val="1"/>
      </rPr>
      <t>Closing Capital Cost</t>
    </r>
  </si>
  <si>
    <r>
      <rPr>
        <b/>
        <sz val="12"/>
        <rFont val="Cambria"/>
        <family val="1"/>
      </rPr>
      <t>Average Capital Cost</t>
    </r>
  </si>
  <si>
    <r>
      <rPr>
        <b/>
        <u val="single"/>
        <sz val="12"/>
        <rFont val="Cambria"/>
        <family val="1"/>
      </rPr>
      <t>Statement showing claimed capital cost eligible for RoE at normal rate (A)</t>
    </r>
  </si>
  <si>
    <r>
      <rPr>
        <sz val="12"/>
        <rFont val="Cambria"/>
        <family val="1"/>
      </rPr>
      <t>Add: Addition during the year / period</t>
    </r>
  </si>
  <si>
    <r>
      <rPr>
        <sz val="12"/>
        <rFont val="Cambria"/>
        <family val="1"/>
      </rPr>
      <t>Less: De-capitalisation during the year / period</t>
    </r>
  </si>
  <si>
    <r>
      <rPr>
        <sz val="12"/>
        <rFont val="Cambria"/>
        <family val="1"/>
      </rPr>
      <t>Add: Discharges during the year / period</t>
    </r>
  </si>
  <si>
    <r>
      <rPr>
        <b/>
        <u val="single"/>
        <sz val="12"/>
        <rFont val="Cambria"/>
        <family val="1"/>
      </rPr>
      <t xml:space="preserve">Statement showing claimed capital cost eligible for RoE
</t>
    </r>
    <r>
      <rPr>
        <b/>
        <u val="single"/>
        <sz val="12"/>
        <rFont val="Cambria"/>
        <family val="1"/>
      </rPr>
      <t>at weighted average rate of interest on actual loan portfolio (B)</t>
    </r>
  </si>
  <si>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</si>
  <si>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FORM-1(IIA)</t>
    </r>
  </si>
  <si>
    <r>
      <rPr>
        <b/>
        <u val="single"/>
        <sz val="12"/>
        <rFont val="Cambria"/>
        <family val="1"/>
      </rPr>
      <t>Statement showing Return on Equity at Normal Rate</t>
    </r>
    <r>
      <rPr>
        <u val="single"/>
        <sz val="12"/>
        <rFont val="Cambria"/>
        <family val="1"/>
      </rPr>
      <t>:</t>
    </r>
  </si>
  <si>
    <r>
      <rPr>
        <b/>
        <sz val="12"/>
        <rFont val="Cambria"/>
        <family val="1"/>
      </rPr>
      <t>Sr</t>
    </r>
  </si>
  <si>
    <r>
      <rPr>
        <b/>
        <sz val="12"/>
        <rFont val="Cambria"/>
        <family val="1"/>
      </rPr>
      <t>Return on Equity</t>
    </r>
  </si>
  <si>
    <r>
      <rPr>
        <sz val="12"/>
        <rFont val="Cambria"/>
        <family val="1"/>
      </rPr>
      <t>Gross Opening Equity (Normal)</t>
    </r>
  </si>
  <si>
    <r>
      <rPr>
        <sz val="12"/>
        <rFont val="Cambria"/>
        <family val="1"/>
      </rPr>
      <t>Less: Adjustment in Opening Equity</t>
    </r>
  </si>
  <si>
    <r>
      <rPr>
        <sz val="12"/>
        <rFont val="Cambria"/>
        <family val="1"/>
      </rPr>
      <t>Adjustment during the year</t>
    </r>
  </si>
  <si>
    <r>
      <rPr>
        <sz val="12"/>
        <rFont val="Cambria"/>
        <family val="1"/>
      </rPr>
      <t>Net Opening Equity (Normal)</t>
    </r>
  </si>
  <si>
    <r>
      <rPr>
        <sz val="12"/>
        <rFont val="Cambria"/>
        <family val="1"/>
      </rPr>
      <t>Add: Increase in equity due to addition during the year / period</t>
    </r>
  </si>
  <si>
    <r>
      <rPr>
        <sz val="12"/>
        <rFont val="Cambria"/>
        <family val="1"/>
      </rPr>
      <t>Less: Decrease due to De-capitalisation during the year / period</t>
    </r>
  </si>
  <si>
    <r>
      <rPr>
        <sz val="12"/>
        <rFont val="Cambria"/>
        <family val="1"/>
      </rPr>
      <t>Less: Decrease due to reversal during the year / period</t>
    </r>
  </si>
  <si>
    <r>
      <rPr>
        <sz val="12"/>
        <rFont val="Cambria"/>
        <family val="1"/>
      </rPr>
      <t>Add: Increase due to discharges during the year / period</t>
    </r>
  </si>
  <si>
    <r>
      <rPr>
        <sz val="12"/>
        <rFont val="Cambria"/>
        <family val="1"/>
      </rPr>
      <t>Net closing Equity (Normal)</t>
    </r>
  </si>
  <si>
    <r>
      <rPr>
        <sz val="12"/>
        <rFont val="Cambria"/>
        <family val="1"/>
      </rPr>
      <t>Average Equity (Normal)</t>
    </r>
  </si>
  <si>
    <r>
      <rPr>
        <sz val="12"/>
        <rFont val="Cambria"/>
        <family val="1"/>
      </rPr>
      <t>Rate of ROE</t>
    </r>
  </si>
  <si>
    <r>
      <rPr>
        <sz val="12"/>
        <rFont val="Cambria"/>
        <family val="1"/>
      </rPr>
      <t>Total ROE</t>
    </r>
  </si>
  <si>
    <r>
      <rPr>
        <b/>
        <sz val="12"/>
        <rFont val="Cambria"/>
        <family val="1"/>
      </rPr>
      <t>PART 1 FORM-1(IIB)</t>
    </r>
  </si>
  <si>
    <r>
      <rPr>
        <b/>
        <sz val="12"/>
        <rFont val="Cambria"/>
        <family val="1"/>
      </rPr>
      <t>Return on Equity (beyond the original scope of work excluding additional capitalization due to Change in Law)</t>
    </r>
  </si>
  <si>
    <r>
      <rPr>
        <b/>
        <u val="single"/>
        <sz val="12"/>
        <rFont val="Cambria"/>
        <family val="1"/>
      </rPr>
      <t>Plant Characteristics</t>
    </r>
  </si>
  <si>
    <r>
      <rPr>
        <b/>
        <sz val="12"/>
        <rFont val="Cambria"/>
        <family val="1"/>
      </rPr>
      <t>PART 1 FORM-2</t>
    </r>
  </si>
  <si>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</si>
  <si>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Unit(s)/Block(s)/Parameters</t>
    </r>
  </si>
  <si>
    <r>
      <rPr>
        <b/>
        <sz val="12"/>
        <rFont val="Cambria"/>
        <family val="1"/>
      </rPr>
      <t>Unit-I</t>
    </r>
  </si>
  <si>
    <r>
      <rPr>
        <b/>
        <sz val="12"/>
        <rFont val="Cambria"/>
        <family val="1"/>
      </rPr>
      <t>Unit-II</t>
    </r>
  </si>
  <si>
    <r>
      <rPr>
        <b/>
        <sz val="12"/>
        <rFont val="Cambria"/>
        <family val="1"/>
      </rPr>
      <t>Unit-III</t>
    </r>
  </si>
  <si>
    <r>
      <rPr>
        <b/>
        <sz val="12"/>
        <rFont val="Cambria"/>
        <family val="1"/>
      </rPr>
      <t>….</t>
    </r>
  </si>
  <si>
    <r>
      <rPr>
        <sz val="12"/>
        <rFont val="Cambria"/>
        <family val="1"/>
      </rPr>
      <t>Installed Capacity ( MW)</t>
    </r>
  </si>
  <si>
    <r>
      <rPr>
        <sz val="12"/>
        <rFont val="Cambria"/>
        <family val="1"/>
      </rPr>
      <t>Schedule COD as per Investment Approval</t>
    </r>
  </si>
  <si>
    <r>
      <rPr>
        <sz val="12"/>
        <rFont val="Cambria"/>
        <family val="1"/>
      </rPr>
      <t>Actual COD /Date of Taken Over (as applicable)</t>
    </r>
  </si>
  <si>
    <r>
      <rPr>
        <sz val="12"/>
        <rFont val="Cambria"/>
        <family val="1"/>
      </rPr>
      <t>Pit Head or Non Pit Head</t>
    </r>
  </si>
  <si>
    <r>
      <rPr>
        <sz val="12"/>
        <rFont val="Cambria"/>
        <family val="1"/>
      </rPr>
      <t>Name of the Boiler Manufacture</t>
    </r>
  </si>
  <si>
    <r>
      <rPr>
        <sz val="12"/>
        <rFont val="Cambria"/>
        <family val="1"/>
      </rPr>
      <t>Name of Turbine Generator Manufacture</t>
    </r>
  </si>
  <si>
    <r>
      <rPr>
        <sz val="12"/>
        <rFont val="Cambria"/>
        <family val="1"/>
      </rPr>
      <t>Main Steams Pressure at Turbine inlet   (kg/Cm</t>
    </r>
    <r>
      <rPr>
        <vertAlign val="superscript"/>
        <sz val="8"/>
        <rFont val="Cambria"/>
        <family val="1"/>
      </rPr>
      <t>2</t>
    </r>
    <r>
      <rPr>
        <sz val="12"/>
        <rFont val="Cambria"/>
        <family val="1"/>
      </rPr>
      <t xml:space="preserve">)
</t>
    </r>
    <r>
      <rPr>
        <sz val="12"/>
        <rFont val="Cambria"/>
        <family val="1"/>
      </rPr>
      <t>abs</t>
    </r>
    <r>
      <rPr>
        <vertAlign val="superscript"/>
        <sz val="8"/>
        <rFont val="Cambria"/>
        <family val="1"/>
      </rPr>
      <t>1</t>
    </r>
    <r>
      <rPr>
        <sz val="12"/>
        <rFont val="Cambria"/>
        <family val="1"/>
      </rPr>
      <t>.</t>
    </r>
  </si>
  <si>
    <r>
      <rPr>
        <sz val="12"/>
        <rFont val="Cambria"/>
        <family val="1"/>
      </rPr>
      <t>Main Steam Temperature at Turbine inlet (</t>
    </r>
    <r>
      <rPr>
        <vertAlign val="superscript"/>
        <sz val="8"/>
        <rFont val="Cambria"/>
        <family val="1"/>
      </rPr>
      <t>o</t>
    </r>
    <r>
      <rPr>
        <sz val="12"/>
        <rFont val="Cambria"/>
        <family val="1"/>
      </rPr>
      <t xml:space="preserve">C) </t>
    </r>
    <r>
      <rPr>
        <vertAlign val="superscript"/>
        <sz val="8"/>
        <rFont val="Cambria"/>
        <family val="1"/>
      </rPr>
      <t>1</t>
    </r>
  </si>
  <si>
    <r>
      <rPr>
        <sz val="12"/>
        <rFont val="Cambria"/>
        <family val="1"/>
      </rPr>
      <t>Reheat Steam Pressure at Turbine inlet (kg/Cm</t>
    </r>
    <r>
      <rPr>
        <vertAlign val="superscript"/>
        <sz val="8"/>
        <rFont val="Cambria"/>
        <family val="1"/>
      </rPr>
      <t>2) 1</t>
    </r>
  </si>
  <si>
    <r>
      <rPr>
        <sz val="12"/>
        <rFont val="Cambria"/>
        <family val="1"/>
      </rPr>
      <t>Reheat Steam Temperature at Turbine inlet (</t>
    </r>
    <r>
      <rPr>
        <vertAlign val="superscript"/>
        <sz val="8"/>
        <rFont val="Cambria"/>
        <family val="1"/>
      </rPr>
      <t>o</t>
    </r>
    <r>
      <rPr>
        <sz val="12"/>
        <rFont val="Cambria"/>
        <family val="1"/>
      </rPr>
      <t xml:space="preserve">C) </t>
    </r>
    <r>
      <rPr>
        <vertAlign val="superscript"/>
        <sz val="8"/>
        <rFont val="Cambria"/>
        <family val="1"/>
      </rPr>
      <t>1</t>
    </r>
  </si>
  <si>
    <r>
      <rPr>
        <sz val="12"/>
        <rFont val="Cambria"/>
        <family val="1"/>
      </rPr>
      <t xml:space="preserve">Main Steam flow at Turbine inlet under MCR
</t>
    </r>
    <r>
      <rPr>
        <sz val="12"/>
        <rFont val="Cambria"/>
        <family val="1"/>
      </rPr>
      <t>condition (tons /hr)</t>
    </r>
    <r>
      <rPr>
        <vertAlign val="superscript"/>
        <sz val="8"/>
        <rFont val="Cambria"/>
        <family val="1"/>
      </rPr>
      <t>2</t>
    </r>
  </si>
  <si>
    <r>
      <rPr>
        <sz val="12"/>
        <rFont val="Cambria"/>
        <family val="1"/>
      </rPr>
      <t xml:space="preserve">Main Steam flow at Turbine inlet under VWO
</t>
    </r>
    <r>
      <rPr>
        <sz val="12"/>
        <rFont val="Cambria"/>
        <family val="1"/>
      </rPr>
      <t>condition (tons /hr)</t>
    </r>
    <r>
      <rPr>
        <vertAlign val="superscript"/>
        <sz val="8"/>
        <rFont val="Cambria"/>
        <family val="1"/>
      </rPr>
      <t>2</t>
    </r>
  </si>
  <si>
    <r>
      <rPr>
        <sz val="12"/>
        <rFont val="Cambria"/>
        <family val="1"/>
      </rPr>
      <t xml:space="preserve">Unit  Gross  electrical  output  under  MCR  /Rated
</t>
    </r>
    <r>
      <rPr>
        <sz val="12"/>
        <rFont val="Cambria"/>
        <family val="1"/>
      </rPr>
      <t>condition (MW)</t>
    </r>
    <r>
      <rPr>
        <vertAlign val="superscript"/>
        <sz val="8"/>
        <rFont val="Cambria"/>
        <family val="1"/>
      </rPr>
      <t>2</t>
    </r>
  </si>
  <si>
    <r>
      <rPr>
        <sz val="12"/>
        <rFont val="Cambria"/>
        <family val="1"/>
      </rPr>
      <t xml:space="preserve">Unit Gross electrical output under VWO   condition
</t>
    </r>
    <r>
      <rPr>
        <sz val="12"/>
        <rFont val="Cambria"/>
        <family val="1"/>
      </rPr>
      <t>(MW)</t>
    </r>
    <r>
      <rPr>
        <vertAlign val="superscript"/>
        <sz val="8"/>
        <rFont val="Cambria"/>
        <family val="1"/>
      </rPr>
      <t>2</t>
    </r>
  </si>
  <si>
    <r>
      <rPr>
        <sz val="12"/>
        <rFont val="Cambria"/>
        <family val="1"/>
      </rPr>
      <t xml:space="preserve">Guaranteed Design Gross Turbine Cycle Heat Rate
</t>
    </r>
    <r>
      <rPr>
        <sz val="12"/>
        <rFont val="Cambria"/>
        <family val="1"/>
      </rPr>
      <t>(kCal/kWh)</t>
    </r>
    <r>
      <rPr>
        <vertAlign val="superscript"/>
        <sz val="8"/>
        <rFont val="Cambria"/>
        <family val="1"/>
      </rPr>
      <t>3</t>
    </r>
  </si>
  <si>
    <r>
      <rPr>
        <sz val="12"/>
        <rFont val="Cambria"/>
        <family val="1"/>
      </rPr>
      <t xml:space="preserve">Conditions on which design turbine cycle heat rate
</t>
    </r>
    <r>
      <rPr>
        <sz val="12"/>
        <rFont val="Cambria"/>
        <family val="1"/>
      </rPr>
      <t>guaranteed</t>
    </r>
  </si>
  <si>
    <r>
      <rPr>
        <sz val="12"/>
        <rFont val="Cambria"/>
        <family val="1"/>
      </rPr>
      <t>% MCR</t>
    </r>
  </si>
  <si>
    <r>
      <rPr>
        <sz val="12"/>
        <rFont val="Cambria"/>
        <family val="1"/>
      </rPr>
      <t>% Makeup Water Consumption</t>
    </r>
  </si>
  <si>
    <r>
      <rPr>
        <sz val="12"/>
        <rFont val="Cambria"/>
        <family val="1"/>
      </rPr>
      <t>Design Capacity of Make up Water System</t>
    </r>
  </si>
  <si>
    <r>
      <rPr>
        <sz val="12"/>
        <rFont val="Cambria"/>
        <family val="1"/>
      </rPr>
      <t>Design Capacity of Inlet Cooling System</t>
    </r>
  </si>
  <si>
    <r>
      <rPr>
        <sz val="12"/>
        <rFont val="Cambria"/>
        <family val="1"/>
      </rPr>
      <t>Design Cooling Water Temperature (</t>
    </r>
    <r>
      <rPr>
        <vertAlign val="superscript"/>
        <sz val="8"/>
        <rFont val="Cambria"/>
        <family val="1"/>
      </rPr>
      <t>0</t>
    </r>
    <r>
      <rPr>
        <sz val="12"/>
        <rFont val="Cambria"/>
        <family val="1"/>
      </rPr>
      <t>C)</t>
    </r>
  </si>
  <si>
    <r>
      <rPr>
        <sz val="12"/>
        <rFont val="Cambria"/>
        <family val="1"/>
      </rPr>
      <t>Back Pressure</t>
    </r>
  </si>
  <si>
    <r>
      <rPr>
        <sz val="12"/>
        <rFont val="Cambria"/>
        <family val="1"/>
      </rPr>
      <t xml:space="preserve">Steam  flow   at   super   heater   outlet   under   BMCR
</t>
    </r>
    <r>
      <rPr>
        <sz val="12"/>
        <rFont val="Cambria"/>
        <family val="1"/>
      </rPr>
      <t>condition (tons/hr)</t>
    </r>
  </si>
  <si>
    <r>
      <rPr>
        <sz val="12"/>
        <rFont val="Cambria"/>
        <family val="1"/>
      </rPr>
      <t xml:space="preserve">Steam Pressure at super heater outlet under BMCR
</t>
    </r>
    <r>
      <rPr>
        <sz val="12"/>
        <rFont val="Cambria"/>
        <family val="1"/>
      </rPr>
      <t xml:space="preserve">condition) </t>
    </r>
    <r>
      <rPr>
        <b/>
        <sz val="12"/>
        <rFont val="Cambria"/>
        <family val="1"/>
      </rPr>
      <t>(kg/Cm</t>
    </r>
    <r>
      <rPr>
        <b/>
        <vertAlign val="superscript"/>
        <sz val="8"/>
        <rFont val="Cambria"/>
        <family val="1"/>
      </rPr>
      <t>2)</t>
    </r>
  </si>
  <si>
    <r>
      <rPr>
        <sz val="12"/>
        <rFont val="Cambria"/>
        <family val="1"/>
      </rPr>
      <t>Steam  Temperature  at  super  heater  outlet  under BMCR condition (</t>
    </r>
    <r>
      <rPr>
        <vertAlign val="superscript"/>
        <sz val="8"/>
        <rFont val="Cambria"/>
        <family val="1"/>
      </rPr>
      <t>0</t>
    </r>
    <r>
      <rPr>
        <sz val="12"/>
        <rFont val="Cambria"/>
        <family val="1"/>
      </rPr>
      <t>C)</t>
    </r>
  </si>
  <si>
    <r>
      <rPr>
        <sz val="12"/>
        <rFont val="Cambria"/>
        <family val="1"/>
      </rPr>
      <t xml:space="preserve">Steam  Temperature   at   Reheater   outlet   at   BMCR
</t>
    </r>
    <r>
      <rPr>
        <sz val="12"/>
        <rFont val="Cambria"/>
        <family val="1"/>
      </rPr>
      <t>condition (</t>
    </r>
    <r>
      <rPr>
        <vertAlign val="superscript"/>
        <sz val="8"/>
        <rFont val="Cambria"/>
        <family val="1"/>
      </rPr>
      <t>0</t>
    </r>
    <r>
      <rPr>
        <sz val="12"/>
        <rFont val="Cambria"/>
        <family val="1"/>
      </rPr>
      <t>C)</t>
    </r>
  </si>
  <si>
    <r>
      <rPr>
        <sz val="12"/>
        <rFont val="Cambria"/>
        <family val="1"/>
      </rPr>
      <t>Design / Guaranteed Boiler Efficiency (%)</t>
    </r>
    <r>
      <rPr>
        <vertAlign val="superscript"/>
        <sz val="8"/>
        <rFont val="Cambria"/>
        <family val="1"/>
      </rPr>
      <t>4</t>
    </r>
  </si>
  <si>
    <r>
      <rPr>
        <sz val="12"/>
        <rFont val="Cambria"/>
        <family val="1"/>
      </rPr>
      <t xml:space="preserve">Design    Fuel    with    and    without       Blending    of
</t>
    </r>
    <r>
      <rPr>
        <sz val="12"/>
        <rFont val="Cambria"/>
        <family val="1"/>
      </rPr>
      <t>domestic/imported coal</t>
    </r>
  </si>
  <si>
    <r>
      <rPr>
        <b/>
        <sz val="12"/>
        <rFont val="Cambria"/>
        <family val="1"/>
      </rPr>
      <t>Type of Cooling Tower</t>
    </r>
  </si>
  <si>
    <r>
      <rPr>
        <b/>
        <sz val="12"/>
        <rFont val="Cambria"/>
        <family val="1"/>
      </rPr>
      <t>Type of cooling system</t>
    </r>
    <r>
      <rPr>
        <b/>
        <vertAlign val="superscript"/>
        <sz val="8"/>
        <rFont val="Cambria"/>
        <family val="1"/>
      </rPr>
      <t>5</t>
    </r>
  </si>
  <si>
    <r>
      <rPr>
        <b/>
        <sz val="12"/>
        <rFont val="Cambria"/>
        <family val="1"/>
      </rPr>
      <t>Type of Boiler Feed Pump</t>
    </r>
    <r>
      <rPr>
        <b/>
        <vertAlign val="superscript"/>
        <sz val="8"/>
        <rFont val="Cambria"/>
        <family val="1"/>
      </rPr>
      <t>6</t>
    </r>
  </si>
  <si>
    <r>
      <rPr>
        <b/>
        <sz val="12"/>
        <rFont val="Cambria"/>
        <family val="1"/>
      </rPr>
      <t>Type of Coal Mill</t>
    </r>
  </si>
  <si>
    <r>
      <rPr>
        <b/>
        <sz val="12"/>
        <rFont val="Cambria"/>
        <family val="1"/>
      </rPr>
      <t>Fuel Details</t>
    </r>
    <r>
      <rPr>
        <b/>
        <vertAlign val="superscript"/>
        <sz val="8"/>
        <rFont val="Cambria"/>
        <family val="1"/>
      </rPr>
      <t>7</t>
    </r>
  </si>
  <si>
    <r>
      <rPr>
        <sz val="12"/>
        <rFont val="Cambria"/>
        <family val="1"/>
      </rPr>
      <t>-Primary Fuel</t>
    </r>
  </si>
  <si>
    <r>
      <rPr>
        <sz val="12"/>
        <rFont val="Cambria"/>
        <family val="1"/>
      </rPr>
      <t>-Secondary Fuel</t>
    </r>
  </si>
  <si>
    <r>
      <rPr>
        <sz val="12"/>
        <rFont val="Cambria"/>
        <family val="1"/>
      </rPr>
      <t>-Alternate Fuels</t>
    </r>
  </si>
  <si>
    <r>
      <rPr>
        <sz val="12"/>
        <rFont val="Cambria"/>
        <family val="1"/>
      </rPr>
      <t>Types of SOX control system</t>
    </r>
  </si>
  <si>
    <r>
      <rPr>
        <sz val="12"/>
        <rFont val="Cambria"/>
        <family val="1"/>
      </rPr>
      <t>Types of NOX control system</t>
    </r>
  </si>
  <si>
    <r>
      <rPr>
        <sz val="12"/>
        <rFont val="Cambria"/>
        <family val="1"/>
      </rPr>
      <t>Details of SPM control system</t>
    </r>
  </si>
  <si>
    <r>
      <rPr>
        <b/>
        <sz val="12"/>
        <rFont val="Cambria"/>
        <family val="1"/>
      </rPr>
      <t>Special Features/Site Specific Features</t>
    </r>
    <r>
      <rPr>
        <b/>
        <vertAlign val="superscript"/>
        <sz val="8"/>
        <rFont val="Cambria"/>
        <family val="1"/>
      </rPr>
      <t>8</t>
    </r>
  </si>
  <si>
    <r>
      <rPr>
        <b/>
        <sz val="12"/>
        <rFont val="Cambria"/>
        <family val="1"/>
      </rPr>
      <t>Special Technological Features</t>
    </r>
    <r>
      <rPr>
        <b/>
        <vertAlign val="superscript"/>
        <sz val="8"/>
        <rFont val="Cambria"/>
        <family val="1"/>
      </rPr>
      <t>9</t>
    </r>
  </si>
  <si>
    <r>
      <rPr>
        <b/>
        <sz val="12"/>
        <rFont val="Cambria"/>
        <family val="1"/>
      </rPr>
      <t>Environmental Regulation related features</t>
    </r>
    <r>
      <rPr>
        <b/>
        <vertAlign val="superscript"/>
        <sz val="8"/>
        <rFont val="Cambria"/>
        <family val="1"/>
      </rPr>
      <t>10</t>
    </r>
  </si>
  <si>
    <r>
      <rPr>
        <b/>
        <sz val="12"/>
        <rFont val="Cambria"/>
        <family val="1"/>
      </rPr>
      <t>Any other special features</t>
    </r>
  </si>
  <si>
    <r>
      <rPr>
        <sz val="12"/>
        <rFont val="Cambria"/>
        <family val="1"/>
      </rPr>
      <t>1. At Turbine MCR condition.</t>
    </r>
  </si>
  <si>
    <r>
      <rPr>
        <sz val="12"/>
        <rFont val="Cambria"/>
        <family val="1"/>
      </rPr>
      <t>2. With 0% (Nil) make up and design Cooling water temperature</t>
    </r>
  </si>
  <si>
    <r>
      <rPr>
        <sz val="12"/>
        <rFont val="Cambria"/>
        <family val="1"/>
      </rPr>
      <t xml:space="preserve">3. At TMCR output based on gross generation, 0% (Nil) makeup and design Cooling water
</t>
    </r>
    <r>
      <rPr>
        <sz val="12"/>
        <rFont val="Cambria"/>
        <family val="1"/>
      </rPr>
      <t>temperature.</t>
    </r>
  </si>
  <si>
    <r>
      <rPr>
        <sz val="12"/>
        <rFont val="Cambria"/>
        <family val="1"/>
      </rPr>
      <t>4. With Performance coal based on Higher Heating Value (HHV) of fuel and at BMCR) out put</t>
    </r>
  </si>
  <si>
    <r>
      <rPr>
        <sz val="12"/>
        <rFont val="Cambria"/>
        <family val="1"/>
      </rPr>
      <t xml:space="preserve">5. Closed circuit cooling, once through cooling, sea cooling, natural draft cooling, induced draft
</t>
    </r>
    <r>
      <rPr>
        <sz val="12"/>
        <rFont val="Cambria"/>
        <family val="1"/>
      </rPr>
      <t>cooling etc.</t>
    </r>
  </si>
  <si>
    <r>
      <rPr>
        <sz val="12"/>
        <rFont val="Cambria"/>
        <family val="1"/>
      </rPr>
      <t>6. Motor driven, Steam turbine driven etc.</t>
    </r>
  </si>
  <si>
    <r>
      <rPr>
        <sz val="12"/>
        <rFont val="Cambria"/>
        <family val="1"/>
      </rPr>
      <t>7. Coal or natural gas or Naptha or lignite etc.</t>
    </r>
  </si>
  <si>
    <r>
      <rPr>
        <sz val="12"/>
        <rFont val="Cambria"/>
        <family val="1"/>
      </rPr>
      <t xml:space="preserve">8. Any site specific feature such as Merry-Go-Round, Vicinity to sea, Intake /makeup water
</t>
    </r>
    <r>
      <rPr>
        <sz val="12"/>
        <rFont val="Cambria"/>
        <family val="1"/>
      </rPr>
      <t>systems etc. scrubbers etc. Specify all such features</t>
    </r>
  </si>
  <si>
    <r>
      <rPr>
        <sz val="12"/>
        <rFont val="Cambria"/>
        <family val="1"/>
      </rPr>
      <t>9. Any Special Technological feature like Advanced class FA technology in Gas Turbines, etc.</t>
    </r>
  </si>
  <si>
    <r>
      <rPr>
        <sz val="12"/>
        <rFont val="Cambria"/>
        <family val="1"/>
      </rPr>
      <t>10. Environmental Regulation related features like FGD, ESP etc.,</t>
    </r>
  </si>
  <si>
    <r>
      <rPr>
        <sz val="12"/>
        <rFont val="Cambria"/>
        <family val="1"/>
      </rPr>
      <t xml:space="preserve">Note 1: In case of deviation from specified conditions in Regulation, correction curve of
</t>
    </r>
    <r>
      <rPr>
        <sz val="12"/>
        <rFont val="Cambria"/>
        <family val="1"/>
      </rPr>
      <t>manufacturer may also be submitted.</t>
    </r>
  </si>
  <si>
    <r>
      <rPr>
        <sz val="12"/>
        <rFont val="Cambria"/>
        <family val="1"/>
      </rPr>
      <t xml:space="preserve">Note 2: Heat Balance Diagram has to be submitted along with above information in case of new
</t>
    </r>
    <r>
      <rPr>
        <sz val="12"/>
        <rFont val="Cambria"/>
        <family val="1"/>
      </rPr>
      <t>stations.</t>
    </r>
  </si>
  <si>
    <r>
      <rPr>
        <sz val="12"/>
        <rFont val="Cambria"/>
        <family val="1"/>
      </rPr>
      <t xml:space="preserve">Note 3: The Terms – MCR, BMCR, HHV, Performance coal, are as defined in CEA Technical
</t>
    </r>
    <r>
      <rPr>
        <sz val="12"/>
        <rFont val="Cambria"/>
        <family val="1"/>
      </rPr>
      <t>Standards for Construction of Electric Plants and Electric Lines Regulations – 2010 notified by the Central Electricity Authority.</t>
    </r>
  </si>
  <si>
    <r>
      <rPr>
        <b/>
        <u val="single"/>
        <sz val="12"/>
        <rFont val="Cambria"/>
        <family val="1"/>
      </rPr>
      <t xml:space="preserve">Normative parameters considered for tariff computations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</si>
  <si>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 xml:space="preserve">PART 1 FORM-3
</t>
    </r>
    <r>
      <rPr>
        <b/>
        <sz val="12"/>
        <rFont val="Cambria"/>
        <family val="1"/>
      </rPr>
      <t>(Year Ending March)</t>
    </r>
  </si>
  <si>
    <r>
      <rPr>
        <b/>
        <sz val="11"/>
        <rFont val="Cambria"/>
        <family val="1"/>
      </rPr>
      <t>Particulars</t>
    </r>
  </si>
  <si>
    <r>
      <rPr>
        <b/>
        <sz val="11"/>
        <rFont val="Cambria"/>
        <family val="1"/>
      </rPr>
      <t>Unit</t>
    </r>
  </si>
  <si>
    <r>
      <rPr>
        <sz val="11"/>
        <rFont val="Cambria"/>
        <family val="1"/>
      </rPr>
      <t>Base Rate of Return on Equity</t>
    </r>
  </si>
  <si>
    <r>
      <rPr>
        <sz val="11"/>
        <rFont val="Cambria"/>
        <family val="1"/>
      </rPr>
      <t>%</t>
    </r>
  </si>
  <si>
    <r>
      <rPr>
        <sz val="11"/>
        <rFont val="Cambria"/>
        <family val="1"/>
      </rPr>
      <t>Base Rate of Return on Equity on Add. Capitalization</t>
    </r>
  </si>
  <si>
    <r>
      <rPr>
        <sz val="11"/>
        <rFont val="Cambria"/>
        <family val="1"/>
      </rPr>
      <t xml:space="preserve">Effective Tax Rate </t>
    </r>
    <r>
      <rPr>
        <vertAlign val="superscript"/>
        <sz val="7"/>
        <rFont val="Cambria"/>
        <family val="1"/>
      </rPr>
      <t>4</t>
    </r>
  </si>
  <si>
    <r>
      <rPr>
        <sz val="11"/>
        <rFont val="Cambria"/>
        <family val="1"/>
      </rPr>
      <t>Target Availability</t>
    </r>
  </si>
  <si>
    <r>
      <rPr>
        <sz val="11"/>
        <rFont val="Cambria"/>
        <family val="1"/>
      </rPr>
      <t>In High Demand Season</t>
    </r>
  </si>
  <si>
    <r>
      <rPr>
        <sz val="11"/>
        <rFont val="Cambria"/>
        <family val="1"/>
      </rPr>
      <t>Peak Hours</t>
    </r>
  </si>
  <si>
    <r>
      <rPr>
        <sz val="11"/>
        <rFont val="Cambria"/>
        <family val="1"/>
      </rPr>
      <t>Off-Peak Hours</t>
    </r>
  </si>
  <si>
    <r>
      <rPr>
        <sz val="11"/>
        <rFont val="Cambria"/>
        <family val="1"/>
      </rPr>
      <t>In Low Demand Season(Off-Peak)</t>
    </r>
  </si>
  <si>
    <r>
      <rPr>
        <sz val="11"/>
        <rFont val="Cambria"/>
        <family val="1"/>
      </rPr>
      <t>Auxiliary Energy Consumption</t>
    </r>
  </si>
  <si>
    <r>
      <rPr>
        <sz val="11"/>
        <rFont val="Cambria"/>
        <family val="1"/>
      </rPr>
      <t>Gross Station Heat Rate</t>
    </r>
  </si>
  <si>
    <r>
      <rPr>
        <sz val="11"/>
        <rFont val="Cambria"/>
        <family val="1"/>
      </rPr>
      <t>kCal/kWh</t>
    </r>
  </si>
  <si>
    <r>
      <rPr>
        <sz val="11"/>
        <rFont val="Cambria"/>
        <family val="1"/>
      </rPr>
      <t>Specific Fuel Oil Consumption</t>
    </r>
  </si>
  <si>
    <r>
      <rPr>
        <sz val="11"/>
        <rFont val="Cambria"/>
        <family val="1"/>
      </rPr>
      <t>ml/kWh</t>
    </r>
  </si>
  <si>
    <r>
      <rPr>
        <sz val="11"/>
        <rFont val="Cambria"/>
        <family val="1"/>
      </rPr>
      <t>Cost of Coal/Lignite for WC</t>
    </r>
    <r>
      <rPr>
        <vertAlign val="superscript"/>
        <sz val="7"/>
        <rFont val="Cambria"/>
        <family val="1"/>
      </rPr>
      <t>1</t>
    </r>
  </si>
  <si>
    <r>
      <rPr>
        <sz val="11"/>
        <rFont val="Cambria"/>
        <family val="1"/>
      </rPr>
      <t>in Months</t>
    </r>
  </si>
  <si>
    <r>
      <rPr>
        <sz val="11"/>
        <rFont val="Cambria"/>
        <family val="1"/>
      </rPr>
      <t>Cost of Main Secondary Fuel Oil for WC</t>
    </r>
    <r>
      <rPr>
        <vertAlign val="superscript"/>
        <sz val="7"/>
        <rFont val="Cambria"/>
        <family val="1"/>
      </rPr>
      <t>1</t>
    </r>
  </si>
  <si>
    <r>
      <rPr>
        <sz val="11"/>
        <rFont val="Cambria"/>
        <family val="1"/>
      </rPr>
      <t>Fuel Cost for WC</t>
    </r>
    <r>
      <rPr>
        <vertAlign val="superscript"/>
        <sz val="7"/>
        <rFont val="Cambria"/>
        <family val="1"/>
      </rPr>
      <t>2</t>
    </r>
  </si>
  <si>
    <r>
      <rPr>
        <sz val="11"/>
        <rFont val="Cambria"/>
        <family val="1"/>
      </rPr>
      <t>Liquid Fuel Stock for WC</t>
    </r>
    <r>
      <rPr>
        <vertAlign val="superscript"/>
        <sz val="7"/>
        <rFont val="Cambria"/>
        <family val="1"/>
      </rPr>
      <t>2</t>
    </r>
  </si>
  <si>
    <r>
      <rPr>
        <sz val="11"/>
        <rFont val="Cambria"/>
        <family val="1"/>
      </rPr>
      <t>O&amp;M Expenses</t>
    </r>
  </si>
  <si>
    <r>
      <rPr>
        <sz val="11"/>
        <rFont val="Cambria"/>
        <family val="1"/>
      </rPr>
      <t>Rs lakh  / MW</t>
    </r>
  </si>
  <si>
    <r>
      <rPr>
        <sz val="11"/>
        <rFont val="Cambria"/>
        <family val="1"/>
      </rPr>
      <t>Maintenance Spares for WC</t>
    </r>
  </si>
  <si>
    <r>
      <rPr>
        <sz val="11"/>
        <rFont val="Cambria"/>
        <family val="1"/>
      </rPr>
      <t>% of O&amp;M</t>
    </r>
  </si>
  <si>
    <r>
      <rPr>
        <sz val="11"/>
        <rFont val="Cambria"/>
        <family val="1"/>
      </rPr>
      <t>Receivables for WC</t>
    </r>
  </si>
  <si>
    <r>
      <rPr>
        <sz val="11"/>
        <rFont val="Cambria"/>
        <family val="1"/>
      </rPr>
      <t>Storage capacity of Primary fuel</t>
    </r>
  </si>
  <si>
    <r>
      <rPr>
        <sz val="11"/>
        <rFont val="Cambria"/>
        <family val="1"/>
      </rPr>
      <t>MT</t>
    </r>
  </si>
  <si>
    <r>
      <rPr>
        <sz val="11"/>
        <rFont val="Cambria"/>
        <family val="1"/>
      </rPr>
      <t>SBI 1 Year MCLR plus 350 basis point</t>
    </r>
    <r>
      <rPr>
        <vertAlign val="superscript"/>
        <sz val="7"/>
        <rFont val="Cambria"/>
        <family val="1"/>
      </rPr>
      <t>3</t>
    </r>
  </si>
  <si>
    <r>
      <rPr>
        <sz val="11"/>
        <rFont val="Cambria"/>
        <family val="1"/>
      </rPr>
      <t>Blending ratio of domestic coal/imported coal</t>
    </r>
  </si>
  <si>
    <r>
      <rPr>
        <sz val="11"/>
        <rFont val="Cambria"/>
        <family val="1"/>
      </rPr>
      <t xml:space="preserve">Note: 1). For Coal based/lignite based generating stations
</t>
    </r>
    <r>
      <rPr>
        <sz val="11"/>
        <rFont val="Cambria"/>
        <family val="1"/>
      </rPr>
      <t xml:space="preserve">2). For Gas Turbine/Combined Cycle generating stations duly taking into account the mode of operation on gas fuel and liquid fuel.
</t>
    </r>
    <r>
      <rPr>
        <sz val="11"/>
        <rFont val="Cambria"/>
        <family val="1"/>
      </rPr>
      <t xml:space="preserve">3. Mention relevant date. Effective tax rate is to be computed in accordance with Regulation 31 i.e. actual tax (or advance tax)/gross income, where gross income refers the profit before tax.  .                                                                                                                                                                           </t>
    </r>
    <r>
      <rPr>
        <b/>
        <sz val="11"/>
        <rFont val="Cambria"/>
        <family val="1"/>
      </rPr>
      <t>(Petitioner)</t>
    </r>
  </si>
  <si>
    <r>
      <rPr>
        <b/>
        <sz val="12"/>
        <rFont val="Cambria"/>
        <family val="1"/>
      </rPr>
      <t>Name of the Petitioner</t>
    </r>
  </si>
  <si>
    <r>
      <rPr>
        <b/>
        <u val="single"/>
        <sz val="12"/>
        <rFont val="Cambria"/>
        <family val="1"/>
      </rPr>
      <t xml:space="preserve">Details of Foreign loans
</t>
    </r>
    <r>
      <rPr>
        <sz val="12"/>
        <rFont val="Cambria"/>
        <family val="1"/>
      </rPr>
      <t>(Details only in respect of loans applicable to the project under petition)</t>
    </r>
  </si>
  <si>
    <r>
      <rPr>
        <b/>
        <sz val="12"/>
        <rFont val="Cambria"/>
        <family val="1"/>
      </rPr>
      <t xml:space="preserve">PART 1
</t>
    </r>
    <r>
      <rPr>
        <b/>
        <sz val="12"/>
        <rFont val="Cambria"/>
        <family val="1"/>
      </rPr>
      <t>FORM- 4</t>
    </r>
  </si>
  <si>
    <r>
      <rPr>
        <b/>
        <sz val="12"/>
        <rFont val="Cambria"/>
        <family val="1"/>
      </rPr>
      <t xml:space="preserve">Name of the Generating Station
</t>
    </r>
    <r>
      <rPr>
        <b/>
        <sz val="12"/>
        <rFont val="Cambria"/>
        <family val="1"/>
      </rPr>
      <t xml:space="preserve">Exchange Rate at COD or 31.03.2019, whichever is later         </t>
    </r>
    <r>
      <rPr>
        <u val="single"/>
        <sz val="12"/>
        <rFont val="Times New Roman"/>
        <family val="1"/>
      </rPr>
      <t xml:space="preserve">                                                                             
</t>
    </r>
    <r>
      <rPr>
        <b/>
        <sz val="12"/>
        <rFont val="Cambria"/>
        <family val="1"/>
      </rPr>
      <t>Exchange Rate as on 31.3.2019</t>
    </r>
  </si>
  <si>
    <r>
      <rPr>
        <b/>
        <sz val="12"/>
        <rFont val="Cambria"/>
        <family val="1"/>
      </rPr>
      <t xml:space="preserve">S.
</t>
    </r>
    <r>
      <rPr>
        <b/>
        <sz val="12"/>
        <rFont val="Cambria"/>
        <family val="1"/>
      </rPr>
      <t>No.</t>
    </r>
  </si>
  <si>
    <r>
      <rPr>
        <b/>
        <sz val="12"/>
        <rFont val="Cambria"/>
        <family val="1"/>
      </rPr>
      <t>Financial Year (Starting from COD)</t>
    </r>
  </si>
  <si>
    <r>
      <rPr>
        <b/>
        <sz val="12"/>
        <rFont val="Cambria"/>
        <family val="1"/>
      </rPr>
      <t>Year 1</t>
    </r>
  </si>
  <si>
    <r>
      <rPr>
        <b/>
        <sz val="12"/>
        <rFont val="Cambria"/>
        <family val="1"/>
      </rPr>
      <t>Year 2</t>
    </r>
  </si>
  <si>
    <r>
      <rPr>
        <b/>
        <sz val="12"/>
        <rFont val="Cambria"/>
        <family val="1"/>
      </rPr>
      <t>Year 3 and so on</t>
    </r>
  </si>
  <si>
    <r>
      <rPr>
        <b/>
        <sz val="9"/>
        <rFont val="Cambria"/>
        <family val="1"/>
      </rPr>
      <t>Date</t>
    </r>
  </si>
  <si>
    <r>
      <rPr>
        <b/>
        <sz val="9"/>
        <rFont val="Cambria"/>
        <family val="1"/>
      </rPr>
      <t xml:space="preserve">Amount
</t>
    </r>
    <r>
      <rPr>
        <b/>
        <sz val="9"/>
        <rFont val="Cambria"/>
        <family val="1"/>
      </rPr>
      <t>(Foreign Currency)</t>
    </r>
  </si>
  <si>
    <r>
      <rPr>
        <b/>
        <sz val="9"/>
        <rFont val="Cambria"/>
        <family val="1"/>
      </rPr>
      <t xml:space="preserve">Relevant
</t>
    </r>
    <r>
      <rPr>
        <b/>
        <sz val="9"/>
        <rFont val="Cambria"/>
        <family val="1"/>
      </rPr>
      <t>Exchange Rate</t>
    </r>
  </si>
  <si>
    <r>
      <rPr>
        <b/>
        <sz val="9"/>
        <rFont val="Cambria"/>
        <family val="1"/>
      </rPr>
      <t xml:space="preserve">Amount (Rs.
</t>
    </r>
    <r>
      <rPr>
        <b/>
        <sz val="9"/>
        <rFont val="Cambria"/>
        <family val="1"/>
      </rPr>
      <t>Lakh)</t>
    </r>
  </si>
  <si>
    <r>
      <rPr>
        <b/>
        <sz val="12"/>
        <rFont val="Cambria"/>
        <family val="1"/>
      </rPr>
      <t>Currency1</t>
    </r>
    <r>
      <rPr>
        <b/>
        <vertAlign val="superscript"/>
        <sz val="8"/>
        <rFont val="Cambria"/>
        <family val="1"/>
      </rPr>
      <t>1</t>
    </r>
  </si>
  <si>
    <r>
      <rPr>
        <sz val="12"/>
        <rFont val="Cambria"/>
        <family val="1"/>
      </rPr>
      <t>A.1</t>
    </r>
  </si>
  <si>
    <r>
      <rPr>
        <sz val="12"/>
        <rFont val="Cambria"/>
        <family val="1"/>
      </rPr>
      <t xml:space="preserve">At the date of Drawl or at the
</t>
    </r>
    <r>
      <rPr>
        <sz val="12"/>
        <rFont val="Cambria"/>
        <family val="1"/>
      </rPr>
      <t>beginning to the year of the period</t>
    </r>
    <r>
      <rPr>
        <vertAlign val="superscript"/>
        <sz val="8"/>
        <rFont val="Cambria"/>
        <family val="1"/>
      </rPr>
      <t>2</t>
    </r>
  </si>
  <si>
    <r>
      <rPr>
        <sz val="12"/>
        <rFont val="Cambria"/>
        <family val="1"/>
      </rPr>
      <t xml:space="preserve">Scheduled repayment date of
</t>
    </r>
    <r>
      <rPr>
        <sz val="12"/>
        <rFont val="Cambria"/>
        <family val="1"/>
      </rPr>
      <t>principal</t>
    </r>
  </si>
  <si>
    <r>
      <rPr>
        <sz val="12"/>
        <rFont val="Cambria"/>
        <family val="1"/>
      </rPr>
      <t>Scheduled payment date of interest</t>
    </r>
  </si>
  <si>
    <r>
      <rPr>
        <sz val="12"/>
        <rFont val="Cambria"/>
        <family val="1"/>
      </rPr>
      <t>At the end of Financial year</t>
    </r>
  </si>
  <si>
    <r>
      <rPr>
        <sz val="12"/>
        <rFont val="Cambria"/>
        <family val="1"/>
      </rPr>
      <t>B</t>
    </r>
  </si>
  <si>
    <r>
      <rPr>
        <sz val="12"/>
        <rFont val="Cambria"/>
        <family val="1"/>
      </rPr>
      <t>In case of Hedging</t>
    </r>
    <r>
      <rPr>
        <vertAlign val="superscript"/>
        <sz val="8"/>
        <rFont val="Cambria"/>
        <family val="1"/>
      </rPr>
      <t>3</t>
    </r>
  </si>
  <si>
    <r>
      <rPr>
        <sz val="12"/>
        <rFont val="Cambria"/>
        <family val="1"/>
      </rPr>
      <t>At the date of hedging</t>
    </r>
  </si>
  <si>
    <r>
      <rPr>
        <sz val="12"/>
        <rFont val="Cambria"/>
        <family val="1"/>
      </rPr>
      <t>Period of hedging</t>
    </r>
  </si>
  <si>
    <r>
      <rPr>
        <sz val="12"/>
        <rFont val="Cambria"/>
        <family val="1"/>
      </rPr>
      <t>Cost of hedging</t>
    </r>
  </si>
  <si>
    <r>
      <rPr>
        <b/>
        <sz val="12"/>
        <rFont val="Cambria"/>
        <family val="1"/>
      </rPr>
      <t>Currency2</t>
    </r>
    <r>
      <rPr>
        <b/>
        <vertAlign val="superscript"/>
        <sz val="8"/>
        <rFont val="Cambria"/>
        <family val="1"/>
      </rPr>
      <t>1</t>
    </r>
  </si>
  <si>
    <r>
      <rPr>
        <sz val="12"/>
        <rFont val="Cambria"/>
        <family val="1"/>
      </rPr>
      <t>At the date of Drawl</t>
    </r>
    <r>
      <rPr>
        <vertAlign val="superscript"/>
        <sz val="8"/>
        <rFont val="Cambria"/>
        <family val="1"/>
      </rPr>
      <t>2</t>
    </r>
  </si>
  <si>
    <r>
      <rPr>
        <b/>
        <sz val="9"/>
        <rFont val="Cambria"/>
        <family val="1"/>
      </rPr>
      <t xml:space="preserve">Amount (Foreign
</t>
    </r>
    <r>
      <rPr>
        <b/>
        <sz val="9"/>
        <rFont val="Cambria"/>
        <family val="1"/>
      </rPr>
      <t>Currency)</t>
    </r>
  </si>
  <si>
    <r>
      <rPr>
        <b/>
        <sz val="9"/>
        <rFont val="Cambria"/>
        <family val="1"/>
      </rPr>
      <t xml:space="preserve">Relevant Exchange
</t>
    </r>
    <r>
      <rPr>
        <b/>
        <sz val="9"/>
        <rFont val="Cambria"/>
        <family val="1"/>
      </rPr>
      <t>Rate</t>
    </r>
  </si>
  <si>
    <r>
      <rPr>
        <b/>
        <sz val="12"/>
        <rFont val="Cambria"/>
        <family val="1"/>
      </rPr>
      <t>Currency3</t>
    </r>
    <r>
      <rPr>
        <b/>
        <vertAlign val="superscript"/>
        <sz val="8"/>
        <rFont val="Cambria"/>
        <family val="1"/>
      </rPr>
      <t>1</t>
    </r>
    <r>
      <rPr>
        <b/>
        <sz val="12"/>
        <rFont val="Cambria"/>
        <family val="1"/>
      </rPr>
      <t>&amp; so on</t>
    </r>
  </si>
  <si>
    <r>
      <rPr>
        <sz val="12"/>
        <rFont val="Cambria"/>
        <family val="1"/>
      </rPr>
      <t xml:space="preserve">1. Name of the currency to be mentioned e.g. US$, DM, etc.
</t>
    </r>
    <r>
      <rPr>
        <sz val="12"/>
        <rFont val="Cambria"/>
        <family val="1"/>
      </rPr>
      <t xml:space="preserve">2. In case of more than one drawl during the year, Exchange rate at the date of each drawl to be given.
</t>
    </r>
    <r>
      <rPr>
        <sz val="12"/>
        <rFont val="Cambria"/>
        <family val="1"/>
      </rPr>
      <t xml:space="preserve">3. Furnish details of hedging, in case of more than one hedging during the year or part hedging, details of each hedging are to be given
</t>
    </r>
    <r>
      <rPr>
        <sz val="12"/>
        <rFont val="Cambria"/>
        <family val="1"/>
      </rPr>
      <t>4. Tax (such as withholding tax) details as applicable including change in rates, date from which change effective etc. must be clearly indicated.</t>
    </r>
  </si>
  <si>
    <r>
      <rPr>
        <b/>
        <u val="single"/>
        <sz val="12"/>
        <rFont val="Cambria"/>
        <family val="1"/>
      </rPr>
      <t xml:space="preserve">Details of Foreign Equity
</t>
    </r>
    <r>
      <rPr>
        <sz val="12"/>
        <rFont val="Cambria"/>
        <family val="1"/>
      </rPr>
      <t xml:space="preserve">(Details only in respect of Equity infusion if any applicable to the project under petition)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xml:space="preserve">                                                                             
</t>
    </r>
    <r>
      <rPr>
        <b/>
        <sz val="12"/>
        <rFont val="Cambria"/>
        <family val="1"/>
      </rPr>
      <t xml:space="preserve">Exchange Rate on date/s of infusion        </t>
    </r>
    <r>
      <rPr>
        <u val="single"/>
        <sz val="12"/>
        <rFont val="Times New Roman"/>
        <family val="1"/>
      </rPr>
      <t>                                                                             </t>
    </r>
  </si>
  <si>
    <r>
      <rPr>
        <b/>
        <sz val="12"/>
        <rFont val="Cambria"/>
        <family val="1"/>
      </rPr>
      <t xml:space="preserve">PART 1
</t>
    </r>
    <r>
      <rPr>
        <b/>
        <sz val="12"/>
        <rFont val="Cambria"/>
        <family val="1"/>
      </rPr>
      <t>FORM- 4A</t>
    </r>
  </si>
  <si>
    <r>
      <rPr>
        <b/>
        <sz val="11"/>
        <rFont val="Cambria"/>
        <family val="1"/>
      </rPr>
      <t xml:space="preserve">S.
</t>
    </r>
    <r>
      <rPr>
        <b/>
        <sz val="11"/>
        <rFont val="Cambria"/>
        <family val="1"/>
      </rPr>
      <t>No</t>
    </r>
  </si>
  <si>
    <r>
      <rPr>
        <b/>
        <sz val="11"/>
        <rFont val="Cambria"/>
        <family val="1"/>
      </rPr>
      <t>Financial Year</t>
    </r>
  </si>
  <si>
    <r>
      <rPr>
        <b/>
        <sz val="11"/>
        <rFont val="Cambria"/>
        <family val="1"/>
      </rPr>
      <t>Year 1</t>
    </r>
  </si>
  <si>
    <r>
      <rPr>
        <b/>
        <sz val="11"/>
        <rFont val="Cambria"/>
        <family val="1"/>
      </rPr>
      <t>Year 2</t>
    </r>
  </si>
  <si>
    <r>
      <rPr>
        <b/>
        <sz val="11"/>
        <rFont val="Cambria"/>
        <family val="1"/>
      </rPr>
      <t>Year 3 and so on</t>
    </r>
  </si>
  <si>
    <r>
      <rPr>
        <b/>
        <sz val="9"/>
        <rFont val="Cambria"/>
        <family val="1"/>
      </rPr>
      <t>Amount (Rs. Lakh)</t>
    </r>
  </si>
  <si>
    <r>
      <rPr>
        <b/>
        <sz val="11"/>
        <rFont val="Cambria"/>
        <family val="1"/>
      </rPr>
      <t>Currency1</t>
    </r>
    <r>
      <rPr>
        <b/>
        <vertAlign val="superscript"/>
        <sz val="7"/>
        <rFont val="Cambria"/>
        <family val="1"/>
      </rPr>
      <t>1</t>
    </r>
  </si>
  <si>
    <r>
      <rPr>
        <sz val="11"/>
        <rFont val="Cambria"/>
        <family val="1"/>
      </rPr>
      <t>A.1</t>
    </r>
  </si>
  <si>
    <r>
      <rPr>
        <sz val="11"/>
        <rFont val="Cambria"/>
        <family val="1"/>
      </rPr>
      <t>At the date of infusion</t>
    </r>
    <r>
      <rPr>
        <vertAlign val="superscript"/>
        <sz val="7"/>
        <rFont val="Cambria"/>
        <family val="1"/>
      </rPr>
      <t>2</t>
    </r>
  </si>
  <si>
    <r>
      <rPr>
        <b/>
        <sz val="11"/>
        <rFont val="Cambria"/>
        <family val="1"/>
      </rPr>
      <t>Currency2</t>
    </r>
    <r>
      <rPr>
        <b/>
        <vertAlign val="superscript"/>
        <sz val="7"/>
        <rFont val="Cambria"/>
        <family val="1"/>
      </rPr>
      <t>1</t>
    </r>
  </si>
  <si>
    <r>
      <rPr>
        <b/>
        <sz val="11"/>
        <rFont val="Cambria"/>
        <family val="1"/>
      </rPr>
      <t>Currency3</t>
    </r>
    <r>
      <rPr>
        <b/>
        <vertAlign val="superscript"/>
        <sz val="7"/>
        <rFont val="Cambria"/>
        <family val="1"/>
      </rPr>
      <t>1</t>
    </r>
  </si>
  <si>
    <r>
      <rPr>
        <b/>
        <sz val="11"/>
        <rFont val="Cambria"/>
        <family val="1"/>
      </rPr>
      <t>Currency</t>
    </r>
    <r>
      <rPr>
        <b/>
        <vertAlign val="superscript"/>
        <sz val="7"/>
        <rFont val="Cambria"/>
        <family val="1"/>
      </rPr>
      <t xml:space="preserve">1  </t>
    </r>
    <r>
      <rPr>
        <b/>
        <sz val="11"/>
        <rFont val="Cambria"/>
        <family val="1"/>
      </rPr>
      <t>and so on</t>
    </r>
  </si>
  <si>
    <r>
      <rPr>
        <sz val="11"/>
        <rFont val="Cambria"/>
        <family val="1"/>
      </rPr>
      <t xml:space="preserve">1. Name of the currency to be mentioned e.g. US$, DM, etc.
</t>
    </r>
    <r>
      <rPr>
        <sz val="11"/>
        <rFont val="Cambria"/>
        <family val="1"/>
      </rPr>
      <t>2. In case of equity infusion more than once during the year, Exchange rate at the date of each infusion to be given</t>
    </r>
    <r>
      <rPr>
        <b/>
        <sz val="11"/>
        <rFont val="Cambria"/>
        <family val="1"/>
      </rPr>
      <t xml:space="preserve">.               </t>
    </r>
    <r>
      <rPr>
        <b/>
        <sz val="12"/>
        <rFont val="Cambria"/>
        <family val="1"/>
      </rPr>
      <t>(Petitioner)</t>
    </r>
  </si>
  <si>
    <r>
      <rPr>
        <b/>
        <u val="single"/>
        <sz val="12"/>
        <rFont val="Cambria"/>
        <family val="1"/>
      </rPr>
      <t>Abstract of Admitted Capital Cost for the existing Projects</t>
    </r>
  </si>
  <si>
    <r>
      <rPr>
        <b/>
        <sz val="12"/>
        <rFont val="Cambria"/>
        <family val="1"/>
      </rPr>
      <t xml:space="preserve">PART 1
</t>
    </r>
    <r>
      <rPr>
        <b/>
        <sz val="12"/>
        <rFont val="Cambria"/>
        <family val="1"/>
      </rPr>
      <t>FORM- 5</t>
    </r>
  </si>
  <si>
    <r>
      <rPr>
        <b/>
        <sz val="12"/>
        <rFont val="Cambria"/>
        <family val="1"/>
      </rPr>
      <t xml:space="preserve">Last date of order </t>
    </r>
    <r>
      <rPr>
        <sz val="12"/>
        <rFont val="Cambria"/>
        <family val="1"/>
      </rPr>
      <t>of Commission for the project</t>
    </r>
  </si>
  <si>
    <r>
      <rPr>
        <sz val="12"/>
        <rFont val="Cambria"/>
        <family val="1"/>
      </rPr>
      <t>Date (DD-MM-YYYY)</t>
    </r>
  </si>
  <si>
    <r>
      <rPr>
        <sz val="12"/>
        <rFont val="Cambria"/>
        <family val="1"/>
      </rPr>
      <t xml:space="preserve">Reference of petition no. in which the above order
</t>
    </r>
    <r>
      <rPr>
        <sz val="12"/>
        <rFont val="Cambria"/>
        <family val="1"/>
      </rPr>
      <t>was passed</t>
    </r>
  </si>
  <si>
    <r>
      <rPr>
        <sz val="12"/>
        <rFont val="Cambria"/>
        <family val="1"/>
      </rPr>
      <t>Petition no.</t>
    </r>
  </si>
  <si>
    <r>
      <rPr>
        <sz val="12"/>
        <rFont val="Cambria"/>
        <family val="1"/>
      </rPr>
      <t>Following details (whether admitted and /or considered) as on the last date of the period for which tariff is approved, in the above order by the Commission:</t>
    </r>
  </si>
  <si>
    <r>
      <rPr>
        <sz val="12"/>
        <rFont val="Cambria"/>
        <family val="1"/>
      </rPr>
      <t>Capital cost</t>
    </r>
  </si>
  <si>
    <r>
      <rPr>
        <sz val="12"/>
        <rFont val="Cambria"/>
        <family val="1"/>
      </rPr>
      <t>(Rs. in lakh)*</t>
    </r>
  </si>
  <si>
    <r>
      <rPr>
        <sz val="12"/>
        <rFont val="Cambria"/>
        <family val="1"/>
      </rPr>
      <t xml:space="preserve">Amount of un-discharged liabilities included in
</t>
    </r>
    <r>
      <rPr>
        <sz val="12"/>
        <rFont val="Cambria"/>
        <family val="1"/>
      </rPr>
      <t>above (&amp; forming part of admitted capital cost)</t>
    </r>
  </si>
  <si>
    <r>
      <rPr>
        <sz val="12"/>
        <rFont val="Cambria"/>
        <family val="1"/>
      </rPr>
      <t xml:space="preserve">Amount of un-discharged liabilities corresponding to above admitted capital cost (but not forming part of admitted capital cost being allowed on cash
</t>
    </r>
    <r>
      <rPr>
        <sz val="12"/>
        <rFont val="Cambria"/>
        <family val="1"/>
      </rPr>
      <t>basis)</t>
    </r>
  </si>
  <si>
    <r>
      <rPr>
        <sz val="12"/>
        <rFont val="Cambria"/>
        <family val="1"/>
      </rPr>
      <t>Gross Normative Debt</t>
    </r>
  </si>
  <si>
    <r>
      <rPr>
        <sz val="12"/>
        <rFont val="Cambria"/>
        <family val="1"/>
      </rPr>
      <t>Cumulative Repayment</t>
    </r>
  </si>
  <si>
    <r>
      <rPr>
        <sz val="12"/>
        <rFont val="Cambria"/>
        <family val="1"/>
      </rPr>
      <t>Net Normative Debt</t>
    </r>
  </si>
  <si>
    <r>
      <rPr>
        <sz val="12"/>
        <rFont val="Cambria"/>
        <family val="1"/>
      </rPr>
      <t>Normative Equity</t>
    </r>
  </si>
  <si>
    <r>
      <rPr>
        <sz val="12"/>
        <rFont val="Cambria"/>
        <family val="1"/>
      </rPr>
      <t>Cumulative Depreciation</t>
    </r>
  </si>
  <si>
    <r>
      <rPr>
        <sz val="12"/>
        <rFont val="Cambria"/>
        <family val="1"/>
      </rPr>
      <t>Freehold land</t>
    </r>
  </si>
  <si>
    <r>
      <rPr>
        <b/>
        <u val="single"/>
        <sz val="12"/>
        <rFont val="Cambria"/>
        <family val="1"/>
      </rPr>
      <t>Financial Package up to COD</t>
    </r>
  </si>
  <si>
    <r>
      <rPr>
        <b/>
        <sz val="12"/>
        <rFont val="Cambria"/>
        <family val="1"/>
      </rPr>
      <t xml:space="preserve">PART 1
</t>
    </r>
    <r>
      <rPr>
        <b/>
        <sz val="12"/>
        <rFont val="Cambria"/>
        <family val="1"/>
      </rPr>
      <t>FORM- 6</t>
    </r>
  </si>
  <si>
    <r>
      <rPr>
        <b/>
        <sz val="12"/>
        <rFont val="Cambria"/>
        <family val="1"/>
      </rPr>
      <t xml:space="preserve">Name of the Petitioner
</t>
    </r>
    <r>
      <rPr>
        <b/>
        <sz val="12"/>
        <rFont val="Cambria"/>
        <family val="1"/>
      </rPr>
      <t>Name of the Generating Station Project Cost as on COD</t>
    </r>
    <r>
      <rPr>
        <b/>
        <vertAlign val="superscript"/>
        <sz val="8"/>
        <rFont val="Cambria"/>
        <family val="1"/>
      </rPr>
      <t xml:space="preserve">1
</t>
    </r>
    <r>
      <rPr>
        <b/>
        <sz val="12"/>
        <rFont val="Cambria"/>
        <family val="1"/>
      </rPr>
      <t>Date of Commercial Operation of the Station</t>
    </r>
    <r>
      <rPr>
        <b/>
        <vertAlign val="superscript"/>
        <sz val="8"/>
        <rFont val="Cambria"/>
        <family val="1"/>
      </rPr>
      <t xml:space="preserve">2  </t>
    </r>
    <r>
      <rPr>
        <u val="single"/>
        <vertAlign val="superscript"/>
        <sz val="8"/>
        <rFont val="Times New Roman"/>
        <family val="1"/>
      </rPr>
      <t>                                                                                                                   </t>
    </r>
  </si>
  <si>
    <r>
      <rPr>
        <b/>
        <sz val="12"/>
        <rFont val="Cambria"/>
        <family val="1"/>
      </rPr>
      <t>Financial Package as Approved</t>
    </r>
  </si>
  <si>
    <r>
      <rPr>
        <b/>
        <sz val="12"/>
        <rFont val="Cambria"/>
        <family val="1"/>
      </rPr>
      <t>Financial Package as on COD</t>
    </r>
  </si>
  <si>
    <r>
      <rPr>
        <b/>
        <sz val="12"/>
        <rFont val="Cambria"/>
        <family val="1"/>
      </rPr>
      <t>As Admitted on COD</t>
    </r>
  </si>
  <si>
    <r>
      <rPr>
        <b/>
        <sz val="12"/>
        <rFont val="Cambria"/>
        <family val="1"/>
      </rPr>
      <t>Currency and Amount</t>
    </r>
    <r>
      <rPr>
        <b/>
        <vertAlign val="superscript"/>
        <sz val="8"/>
        <rFont val="Cambria"/>
        <family val="1"/>
      </rPr>
      <t>3</t>
    </r>
  </si>
  <si>
    <r>
      <rPr>
        <sz val="12"/>
        <rFont val="Cambria"/>
        <family val="1"/>
      </rPr>
      <t>Loan-I</t>
    </r>
  </si>
  <si>
    <r>
      <rPr>
        <sz val="12"/>
        <rFont val="Cambria"/>
        <family val="1"/>
      </rPr>
      <t>US $</t>
    </r>
  </si>
  <si>
    <r>
      <rPr>
        <sz val="12"/>
        <rFont val="Cambria"/>
        <family val="1"/>
      </rPr>
      <t>200m</t>
    </r>
  </si>
  <si>
    <r>
      <rPr>
        <sz val="12"/>
        <rFont val="Cambria"/>
        <family val="1"/>
      </rPr>
      <t>Loan-II</t>
    </r>
  </si>
  <si>
    <r>
      <rPr>
        <sz val="12"/>
        <rFont val="Cambria"/>
        <family val="1"/>
      </rPr>
      <t>Loan-III</t>
    </r>
  </si>
  <si>
    <r>
      <rPr>
        <sz val="12"/>
        <rFont val="Cambria"/>
        <family val="1"/>
      </rPr>
      <t>and so on</t>
    </r>
  </si>
  <si>
    <r>
      <rPr>
        <sz val="12"/>
        <rFont val="Cambria"/>
        <family val="1"/>
      </rPr>
      <t>Equity-</t>
    </r>
  </si>
  <si>
    <r>
      <rPr>
        <sz val="12"/>
        <rFont val="Cambria"/>
        <family val="1"/>
      </rPr>
      <t>Foreign</t>
    </r>
  </si>
  <si>
    <r>
      <rPr>
        <sz val="12"/>
        <rFont val="Cambria"/>
        <family val="1"/>
      </rPr>
      <t>Domestic</t>
    </r>
  </si>
  <si>
    <r>
      <rPr>
        <sz val="12"/>
        <rFont val="Cambria"/>
        <family val="1"/>
      </rPr>
      <t>Total Equity</t>
    </r>
  </si>
  <si>
    <r>
      <rPr>
        <sz val="12"/>
        <rFont val="Cambria"/>
        <family val="1"/>
      </rPr>
      <t>Debt : Equity Ratio</t>
    </r>
  </si>
  <si>
    <r>
      <rPr>
        <b/>
        <sz val="12"/>
        <rFont val="Cambria"/>
        <family val="1"/>
      </rPr>
      <t xml:space="preserve">Note:
</t>
    </r>
    <r>
      <rPr>
        <sz val="12"/>
        <rFont val="Cambria"/>
        <family val="1"/>
      </rPr>
      <t xml:space="preserve">1. Say Rs. 80 Cr. + US$ 200 m or Rs. 1480 Cr. including US$ 200 m at an exchange rate of US$=Rs70
</t>
    </r>
    <r>
      <rPr>
        <sz val="12"/>
        <rFont val="Cambria"/>
        <family val="1"/>
      </rPr>
      <t xml:space="preserve">2. Provide details on commercial operation as on COD of each Unit
</t>
    </r>
    <r>
      <rPr>
        <sz val="12"/>
        <rFont val="Cambria"/>
        <family val="1"/>
      </rPr>
      <t xml:space="preserve">3. For example: US $ 200m, etc.                                                                                                                                                                                       </t>
    </r>
    <r>
      <rPr>
        <b/>
        <sz val="12"/>
        <rFont val="Cambria"/>
        <family val="1"/>
      </rPr>
      <t>(Petitioner)</t>
    </r>
  </si>
  <si>
    <r>
      <rPr>
        <b/>
        <sz val="12"/>
        <rFont val="Cambria"/>
        <family val="1"/>
      </rPr>
      <t xml:space="preserve">Name of the Petitioner
</t>
    </r>
    <r>
      <rPr>
        <b/>
        <sz val="12"/>
        <rFont val="Cambria"/>
        <family val="1"/>
      </rPr>
      <t>Name of the Generating Station</t>
    </r>
  </si>
  <si>
    <r>
      <rPr>
        <b/>
        <u val="single"/>
        <sz val="12"/>
        <rFont val="Cambria"/>
        <family val="1"/>
      </rPr>
      <t>Details of project specific loans</t>
    </r>
  </si>
  <si>
    <r>
      <rPr>
        <b/>
        <sz val="12"/>
        <rFont val="Cambria"/>
        <family val="1"/>
      </rPr>
      <t xml:space="preserve">PART 1
</t>
    </r>
    <r>
      <rPr>
        <b/>
        <sz val="12"/>
        <rFont val="Cambria"/>
        <family val="1"/>
      </rPr>
      <t>FORM- 7</t>
    </r>
  </si>
  <si>
    <r>
      <rPr>
        <b/>
        <sz val="12"/>
        <rFont val="Cambria"/>
        <family val="1"/>
      </rPr>
      <t>Package1</t>
    </r>
  </si>
  <si>
    <r>
      <rPr>
        <b/>
        <sz val="12"/>
        <rFont val="Cambria"/>
        <family val="1"/>
      </rPr>
      <t>Package2</t>
    </r>
  </si>
  <si>
    <r>
      <rPr>
        <b/>
        <sz val="12"/>
        <rFont val="Cambria"/>
        <family val="1"/>
      </rPr>
      <t>Package3</t>
    </r>
  </si>
  <si>
    <r>
      <rPr>
        <b/>
        <sz val="12"/>
        <rFont val="Cambria"/>
        <family val="1"/>
      </rPr>
      <t>Package4</t>
    </r>
  </si>
  <si>
    <r>
      <rPr>
        <b/>
        <sz val="12"/>
        <rFont val="Cambria"/>
        <family val="1"/>
      </rPr>
      <t>Package5</t>
    </r>
  </si>
  <si>
    <r>
      <rPr>
        <b/>
        <sz val="12"/>
        <rFont val="Cambria"/>
        <family val="1"/>
      </rPr>
      <t>Package6</t>
    </r>
  </si>
  <si>
    <r>
      <rPr>
        <sz val="12"/>
        <rFont val="Cambria"/>
        <family val="1"/>
      </rPr>
      <t>Source of Loan</t>
    </r>
    <r>
      <rPr>
        <vertAlign val="superscript"/>
        <sz val="8"/>
        <rFont val="Cambria"/>
        <family val="1"/>
      </rPr>
      <t>1</t>
    </r>
  </si>
  <si>
    <r>
      <rPr>
        <sz val="12"/>
        <rFont val="Cambria"/>
        <family val="1"/>
      </rPr>
      <t>Currency</t>
    </r>
    <r>
      <rPr>
        <vertAlign val="superscript"/>
        <sz val="8"/>
        <rFont val="Cambria"/>
        <family val="1"/>
      </rPr>
      <t>2</t>
    </r>
  </si>
  <si>
    <r>
      <rPr>
        <sz val="12"/>
        <rFont val="Cambria"/>
        <family val="1"/>
      </rPr>
      <t>Amount of Loan sanctioned</t>
    </r>
  </si>
  <si>
    <r>
      <rPr>
        <sz val="12"/>
        <rFont val="Cambria"/>
        <family val="1"/>
      </rPr>
      <t xml:space="preserve">Amount of Gross Loan drawn
</t>
    </r>
    <r>
      <rPr>
        <sz val="12"/>
        <rFont val="Cambria"/>
        <family val="1"/>
      </rPr>
      <t xml:space="preserve">upto 31.03.2019/COD </t>
    </r>
    <r>
      <rPr>
        <vertAlign val="superscript"/>
        <sz val="8"/>
        <rFont val="Cambria"/>
        <family val="1"/>
      </rPr>
      <t>3,4,5,13,15</t>
    </r>
  </si>
  <si>
    <r>
      <rPr>
        <sz val="12"/>
        <rFont val="Cambria"/>
        <family val="1"/>
      </rPr>
      <t>Interest Type</t>
    </r>
    <r>
      <rPr>
        <vertAlign val="superscript"/>
        <sz val="8"/>
        <rFont val="Cambria"/>
        <family val="1"/>
      </rPr>
      <t>6</t>
    </r>
  </si>
  <si>
    <r>
      <rPr>
        <sz val="12"/>
        <rFont val="Cambria"/>
        <family val="1"/>
      </rPr>
      <t xml:space="preserve">Fixed Interest Rate, if
</t>
    </r>
    <r>
      <rPr>
        <sz val="12"/>
        <rFont val="Cambria"/>
        <family val="1"/>
      </rPr>
      <t>applicable</t>
    </r>
  </si>
  <si>
    <r>
      <rPr>
        <sz val="12"/>
        <rFont val="Cambria"/>
        <family val="1"/>
      </rPr>
      <t>Base Rate, if Floating Interest</t>
    </r>
    <r>
      <rPr>
        <vertAlign val="superscript"/>
        <sz val="8"/>
        <rFont val="Cambria"/>
        <family val="1"/>
      </rPr>
      <t>7</t>
    </r>
  </si>
  <si>
    <r>
      <rPr>
        <sz val="12"/>
        <rFont val="Cambria"/>
        <family val="1"/>
      </rPr>
      <t>Margin, if Floating Interest</t>
    </r>
    <r>
      <rPr>
        <vertAlign val="superscript"/>
        <sz val="8"/>
        <rFont val="Cambria"/>
        <family val="1"/>
      </rPr>
      <t>8</t>
    </r>
  </si>
  <si>
    <r>
      <rPr>
        <sz val="12"/>
        <rFont val="Cambria"/>
        <family val="1"/>
      </rPr>
      <t>Are there any Caps/Floor</t>
    </r>
    <r>
      <rPr>
        <vertAlign val="superscript"/>
        <sz val="8"/>
        <rFont val="Cambria"/>
        <family val="1"/>
      </rPr>
      <t>9</t>
    </r>
  </si>
  <si>
    <r>
      <rPr>
        <sz val="12"/>
        <rFont val="Cambria"/>
        <family val="1"/>
      </rPr>
      <t>Yes/No</t>
    </r>
  </si>
  <si>
    <r>
      <rPr>
        <sz val="12"/>
        <rFont val="Cambria"/>
        <family val="1"/>
      </rPr>
      <t xml:space="preserve">If above is yes, specify
</t>
    </r>
    <r>
      <rPr>
        <sz val="12"/>
        <rFont val="Cambria"/>
        <family val="1"/>
      </rPr>
      <t>caps/floor</t>
    </r>
  </si>
  <si>
    <r>
      <rPr>
        <sz val="12"/>
        <rFont val="Cambria"/>
        <family val="1"/>
      </rPr>
      <t>Moratorium Period</t>
    </r>
    <r>
      <rPr>
        <vertAlign val="superscript"/>
        <sz val="8"/>
        <rFont val="Cambria"/>
        <family val="1"/>
      </rPr>
      <t>10</t>
    </r>
  </si>
  <si>
    <r>
      <rPr>
        <sz val="12"/>
        <rFont val="Cambria"/>
        <family val="1"/>
      </rPr>
      <t>Moratorium effective from</t>
    </r>
  </si>
  <si>
    <r>
      <rPr>
        <sz val="12"/>
        <rFont val="Cambria"/>
        <family val="1"/>
      </rPr>
      <t>Repayment Period</t>
    </r>
    <r>
      <rPr>
        <vertAlign val="superscript"/>
        <sz val="8"/>
        <rFont val="Cambria"/>
        <family val="1"/>
      </rPr>
      <t>11</t>
    </r>
  </si>
  <si>
    <r>
      <rPr>
        <sz val="12"/>
        <rFont val="Cambria"/>
        <family val="1"/>
      </rPr>
      <t>Repayment effective from</t>
    </r>
  </si>
  <si>
    <r>
      <rPr>
        <sz val="12"/>
        <rFont val="Cambria"/>
        <family val="1"/>
      </rPr>
      <t>Repayment Frequency</t>
    </r>
    <r>
      <rPr>
        <vertAlign val="superscript"/>
        <sz val="8"/>
        <rFont val="Cambria"/>
        <family val="1"/>
      </rPr>
      <t>12</t>
    </r>
  </si>
  <si>
    <r>
      <rPr>
        <sz val="12"/>
        <rFont val="Cambria"/>
        <family val="1"/>
      </rPr>
      <t>Repayment Instalment</t>
    </r>
    <r>
      <rPr>
        <vertAlign val="superscript"/>
        <sz val="8"/>
        <rFont val="Cambria"/>
        <family val="1"/>
      </rPr>
      <t>13,14</t>
    </r>
  </si>
  <si>
    <r>
      <rPr>
        <sz val="12"/>
        <rFont val="Cambria"/>
        <family val="1"/>
      </rPr>
      <t>Base Exchange Rate</t>
    </r>
    <r>
      <rPr>
        <vertAlign val="superscript"/>
        <sz val="8"/>
        <rFont val="Cambria"/>
        <family val="1"/>
      </rPr>
      <t>16</t>
    </r>
  </si>
  <si>
    <r>
      <rPr>
        <sz val="12"/>
        <rFont val="Cambria"/>
        <family val="1"/>
      </rPr>
      <t xml:space="preserve">Are foreign currency loan
</t>
    </r>
    <r>
      <rPr>
        <sz val="12"/>
        <rFont val="Cambria"/>
        <family val="1"/>
      </rPr>
      <t>hedged?</t>
    </r>
  </si>
  <si>
    <r>
      <rPr>
        <sz val="12"/>
        <rFont val="Cambria"/>
        <family val="1"/>
      </rPr>
      <t>If above is yes, specify details</t>
    </r>
    <r>
      <rPr>
        <vertAlign val="superscript"/>
        <sz val="8"/>
        <rFont val="Cambria"/>
        <family val="1"/>
      </rPr>
      <t>17</t>
    </r>
  </si>
  <si>
    <r>
      <rPr>
        <b/>
        <sz val="12"/>
        <rFont val="Cambria"/>
        <family val="1"/>
      </rPr>
      <t xml:space="preserve">Note:
</t>
    </r>
    <r>
      <rPr>
        <sz val="12"/>
        <rFont val="Cambria"/>
        <family val="1"/>
      </rPr>
      <t xml:space="preserve">1. Source of loan means the agency from whom the loan has been taken such as WB, ADB, WMB, PNB, SBI, ICICI, IFC, PFC etc.
</t>
    </r>
    <r>
      <rPr>
        <sz val="12"/>
        <rFont val="Cambria"/>
        <family val="1"/>
      </rPr>
      <t xml:space="preserve">2. Currency refers to currency of loan such as US$, DM, Yen, Indian Rupee etc.
</t>
    </r>
    <r>
      <rPr>
        <sz val="12"/>
        <rFont val="Cambria"/>
        <family val="1"/>
      </rPr>
      <t xml:space="preserve">3. Details are to be submitted as on 31.03.2019 for existing assets and as on COD for the remaining assets.
</t>
    </r>
    <r>
      <rPr>
        <sz val="12"/>
        <rFont val="Cambria"/>
        <family val="1"/>
      </rPr>
      <t xml:space="preserve">4. Where the loan has been refinanced, details in the Form is to be given for the loan refinanced. However, the details of the original loan is to be given separately in the same form.
</t>
    </r>
    <r>
      <rPr>
        <sz val="12"/>
        <rFont val="Cambria"/>
        <family val="1"/>
      </rPr>
      <t xml:space="preserve">5. If the Tariff in the petition is claimed separately for various units, details in the Form is to be given separately for all the units in the same form.
</t>
    </r>
    <r>
      <rPr>
        <sz val="12"/>
        <rFont val="Cambria"/>
        <family val="1"/>
      </rPr>
      <t xml:space="preserve">6. Interest type means whether the interest is fixed or floating.
</t>
    </r>
    <r>
      <rPr>
        <sz val="12"/>
        <rFont val="Cambria"/>
        <family val="1"/>
      </rPr>
      <t xml:space="preserve">7. Base rate means the base as PLR, MCLR, LIBOR etc. over which the margin is to be added. Applicable base rate on different dates from the date of drawl may also be enclosed.
</t>
    </r>
    <r>
      <rPr>
        <sz val="12"/>
        <rFont val="Cambria"/>
        <family val="1"/>
      </rPr>
      <t xml:space="preserve">8. Margin means the points over and above the floating rate.
</t>
    </r>
    <r>
      <rPr>
        <sz val="12"/>
        <rFont val="Cambria"/>
        <family val="1"/>
      </rPr>
      <t xml:space="preserve">9. At times caps/floor are put at which the floating rates are frozen. If such a condition exists, specify the limits.
</t>
    </r>
    <r>
      <rPr>
        <sz val="12"/>
        <rFont val="Cambria"/>
        <family val="1"/>
      </rPr>
      <t xml:space="preserve">10. Moratorium period refers to the period during which loan servicing liability is not required.
</t>
    </r>
    <r>
      <rPr>
        <sz val="12"/>
        <rFont val="Cambria"/>
        <family val="1"/>
      </rPr>
      <t xml:space="preserve">11. Repayment period means the repayment of loan such as 7 years, 10 years, 25 years etc.
</t>
    </r>
    <r>
      <rPr>
        <sz val="12"/>
        <rFont val="Cambria"/>
        <family val="1"/>
      </rPr>
      <t xml:space="preserve">12. Repayment frequency means the interval at which the debt servicing is to be done such as monthly, quarterly, half yearly, annual, etc.
</t>
    </r>
    <r>
      <rPr>
        <sz val="12"/>
        <rFont val="Cambria"/>
        <family val="1"/>
      </rPr>
      <t xml:space="preserve">13. Where there is more than one drawl/repayment for a loan, the date &amp; amount of each drawl/repayment may also be given separately
</t>
    </r>
    <r>
      <rPr>
        <sz val="12"/>
        <rFont val="Cambria"/>
        <family val="1"/>
      </rPr>
      <t xml:space="preserve">14.  If  the  repayment  installment  amount  and  repayment  date  cannot  be  worked  out  from  the  data  furnished  above,  the  repayment schedule to be furnished separately.
</t>
    </r>
    <r>
      <rPr>
        <sz val="12"/>
        <rFont val="Cambria"/>
        <family val="1"/>
      </rPr>
      <t xml:space="preserve">15. In case of Foreign loan, date of each drawl&amp; repayment along with exchange rate at that date may be given.
</t>
    </r>
    <r>
      <rPr>
        <sz val="12"/>
        <rFont val="Cambria"/>
        <family val="1"/>
      </rPr>
      <t xml:space="preserve">16. Base exchange rate means the exchange rate prevailing as on 31.03.2019 or COD, whichever is later
</t>
    </r>
    <r>
      <rPr>
        <sz val="12"/>
        <rFont val="Cambria"/>
        <family val="1"/>
      </rPr>
      <t xml:space="preserve">17. In case of hedging, specify details like type of hedging, period of hedging, cost of hedging, etc.
</t>
    </r>
    <r>
      <rPr>
        <sz val="12"/>
        <rFont val="Cambria"/>
        <family val="1"/>
      </rPr>
      <t xml:space="preserve">18.  In  case  of  foreign  loans,  provide  details  of  exchange  rate  considered  on  date  of  each  repayment  of  principal  and  date  of  interest payment.
</t>
    </r>
    <r>
      <rPr>
        <sz val="12"/>
        <rFont val="Cambria"/>
        <family val="1"/>
      </rPr>
      <t xml:space="preserve">19. At the time of truing up rate of interest with relevant reset date (if any) to be furnished separately
</t>
    </r>
    <r>
      <rPr>
        <sz val="12"/>
        <rFont val="Cambria"/>
        <family val="1"/>
      </rPr>
      <t>20.  At  the  time  of truing  up  provide  details of  refinancing of  loans  considered  earlier.  Details such as  date  on  which  refinancing done, amount of refinanced loan, terms and conditions of refinanced loan, financing and other charges incurred for refinancing, etc.</t>
    </r>
  </si>
  <si>
    <r>
      <rPr>
        <b/>
        <u val="single"/>
        <sz val="12"/>
        <rFont val="Cambria"/>
        <family val="1"/>
      </rPr>
      <t>Details of Allocation of corporate loans to various projects</t>
    </r>
  </si>
  <si>
    <r>
      <rPr>
        <b/>
        <sz val="12"/>
        <rFont val="Cambria"/>
        <family val="1"/>
      </rPr>
      <t xml:space="preserve">PART 1
</t>
    </r>
    <r>
      <rPr>
        <b/>
        <sz val="12"/>
        <rFont val="Cambria"/>
        <family val="1"/>
      </rPr>
      <t>FORM- 8</t>
    </r>
  </si>
  <si>
    <r>
      <rPr>
        <b/>
        <sz val="12"/>
        <rFont val="Cambria"/>
        <family val="1"/>
      </rPr>
      <t>Remarks</t>
    </r>
  </si>
  <si>
    <r>
      <rPr>
        <sz val="12"/>
        <rFont val="Cambria"/>
        <family val="1"/>
      </rPr>
      <t xml:space="preserve">Amount of Gross Loan drawn upto
</t>
    </r>
    <r>
      <rPr>
        <sz val="12"/>
        <rFont val="Cambria"/>
        <family val="1"/>
      </rPr>
      <t xml:space="preserve">31.03.2019/COD </t>
    </r>
    <r>
      <rPr>
        <vertAlign val="superscript"/>
        <sz val="8"/>
        <rFont val="Cambria"/>
        <family val="1"/>
      </rPr>
      <t>3,4,5,13,15</t>
    </r>
  </si>
  <si>
    <r>
      <rPr>
        <sz val="12"/>
        <rFont val="Cambria"/>
        <family val="1"/>
      </rPr>
      <t>Fixed Interest Rate, if applicable</t>
    </r>
  </si>
  <si>
    <r>
      <rPr>
        <sz val="12"/>
        <rFont val="Cambria"/>
        <family val="1"/>
      </rPr>
      <t>If above is yes, specify caps/floor</t>
    </r>
  </si>
  <si>
    <r>
      <rPr>
        <sz val="12"/>
        <rFont val="Cambria"/>
        <family val="1"/>
      </rPr>
      <t>Are foreign currency loan hedged?</t>
    </r>
  </si>
  <si>
    <r>
      <rPr>
        <sz val="12"/>
        <rFont val="Cambria"/>
        <family val="1"/>
      </rPr>
      <t>Distribution of loan packages to various projects</t>
    </r>
  </si>
  <si>
    <r>
      <rPr>
        <sz val="12"/>
        <rFont val="Cambria"/>
        <family val="1"/>
      </rPr>
      <t>Name of the Projects</t>
    </r>
  </si>
  <si>
    <r>
      <rPr>
        <sz val="12"/>
        <rFont val="Cambria"/>
        <family val="1"/>
      </rPr>
      <t>Total</t>
    </r>
  </si>
  <si>
    <r>
      <rPr>
        <sz val="12"/>
        <rFont val="Cambria"/>
        <family val="1"/>
      </rPr>
      <t>Project 1</t>
    </r>
  </si>
  <si>
    <r>
      <rPr>
        <sz val="12"/>
        <rFont val="Cambria"/>
        <family val="1"/>
      </rPr>
      <t>Project 2</t>
    </r>
  </si>
  <si>
    <r>
      <rPr>
        <sz val="12"/>
        <rFont val="Cambria"/>
        <family val="1"/>
      </rPr>
      <t>Project 3 and so on</t>
    </r>
  </si>
  <si>
    <r>
      <rPr>
        <b/>
        <sz val="12"/>
        <rFont val="Cambria"/>
        <family val="1"/>
      </rPr>
      <t xml:space="preserve">Note:
</t>
    </r>
    <r>
      <rPr>
        <sz val="11"/>
        <rFont val="Cambria"/>
        <family val="1"/>
      </rPr>
      <t xml:space="preserve">1. Source of loan means the agency from whom the loan has been taken such as WB, ADB, WMB, PNB, SBI, ICICI, IFC, PFC etc.
</t>
    </r>
    <r>
      <rPr>
        <sz val="11"/>
        <rFont val="Cambria"/>
        <family val="1"/>
      </rPr>
      <t xml:space="preserve">2. Currency refers to currency of loan such as US$, DM, Yen, Indian Rupee etc.
</t>
    </r>
    <r>
      <rPr>
        <sz val="11"/>
        <rFont val="Cambria"/>
        <family val="1"/>
      </rPr>
      <t xml:space="preserve">3. Details are to be submitted as on 31.03.2019 for existing assets and as on COD for the remaining assets.
</t>
    </r>
    <r>
      <rPr>
        <sz val="11"/>
        <rFont val="Cambria"/>
        <family val="1"/>
      </rPr>
      <t xml:space="preserve">4.  Where  the  loan  has  been  refinanced,  details  in  the  Form is  to  be  given  for  the  loan  refinanced.  However,  the  details of  the  original  loan  is  to  be given separately in the same form.
</t>
    </r>
    <r>
      <rPr>
        <sz val="11"/>
        <rFont val="Cambria"/>
        <family val="1"/>
      </rPr>
      <t xml:space="preserve">5. If the Tariff in the petition is claimed separately for various units, details in the Form is to be given separately for all the units in the same form.
</t>
    </r>
    <r>
      <rPr>
        <sz val="11"/>
        <rFont val="Cambria"/>
        <family val="1"/>
      </rPr>
      <t xml:space="preserve">6. Interest type means whether the interest is fixed or floating.
</t>
    </r>
    <r>
      <rPr>
        <sz val="11"/>
        <rFont val="Cambria"/>
        <family val="1"/>
      </rPr>
      <t xml:space="preserve">7. Base rate means the base as PLR, MCLR, LIBOR etc. over which the margin is to be added. Applicable base rate on different dates from the date of drawl may also be enclosed.
</t>
    </r>
    <r>
      <rPr>
        <sz val="11"/>
        <rFont val="Cambria"/>
        <family val="1"/>
      </rPr>
      <t xml:space="preserve">8. Margin means the points over and above the floating rate.
</t>
    </r>
    <r>
      <rPr>
        <sz val="11"/>
        <rFont val="Cambria"/>
        <family val="1"/>
      </rPr>
      <t xml:space="preserve">9. At times caps/floor are put at which the floating rates are frozen. If such a condition exists, specify the limits.
</t>
    </r>
    <r>
      <rPr>
        <sz val="11"/>
        <rFont val="Cambria"/>
        <family val="1"/>
      </rPr>
      <t xml:space="preserve">10. Moratorium period refers to the period during which loan servicing liability is not required.
</t>
    </r>
    <r>
      <rPr>
        <sz val="11"/>
        <rFont val="Cambria"/>
        <family val="1"/>
      </rPr>
      <t xml:space="preserve">11. Repayment period means the repayment of loan such as 7 years, 10 years, 25 years etc.
</t>
    </r>
    <r>
      <rPr>
        <sz val="11"/>
        <rFont val="Cambria"/>
        <family val="1"/>
      </rPr>
      <t xml:space="preserve">12. Repayment frequency means the interval at which the debt servicing is to be done such as monthly, quarterly, half-yearly, annual, etc.
</t>
    </r>
    <r>
      <rPr>
        <sz val="11"/>
        <rFont val="Cambria"/>
        <family val="1"/>
      </rPr>
      <t xml:space="preserve">13. Where there is more than one drawl/repayment for a loan, the date &amp; amount of each drawl/repayment may also be given separately
</t>
    </r>
    <r>
      <rPr>
        <sz val="11"/>
        <rFont val="Cambria"/>
        <family val="1"/>
      </rPr>
      <t xml:space="preserve">14.  If  the  repayment  installment  amount  and  repayment  date  cannot  be  worked  out  from  the  data  furnished  above,  the  repayment  schedule  to  be furnished separately.
</t>
    </r>
    <r>
      <rPr>
        <sz val="11"/>
        <rFont val="Cambria"/>
        <family val="1"/>
      </rPr>
      <t xml:space="preserve">15. In case of Foreign loan, date of each drawl &amp; repayment along with exchange rate at that date may be given.
</t>
    </r>
    <r>
      <rPr>
        <sz val="11"/>
        <rFont val="Cambria"/>
        <family val="1"/>
      </rPr>
      <t xml:space="preserve">16. Base Exchange Rate means the exchange rate prevailing as on 31.03.2019 or COD, whichever is later
</t>
    </r>
    <r>
      <rPr>
        <sz val="11"/>
        <rFont val="Cambria"/>
        <family val="1"/>
      </rPr>
      <t xml:space="preserve">17. In case of hedging, specify details like type of hedging, period of hedging, cost of hedging, etc.
</t>
    </r>
    <r>
      <rPr>
        <sz val="11"/>
        <rFont val="Cambria"/>
        <family val="1"/>
      </rPr>
      <t xml:space="preserve">18.         In case of foreign loans, provide details of exchange rate considered on date of each repayment of principal and date of interest payment.
</t>
    </r>
    <r>
      <rPr>
        <sz val="11"/>
        <rFont val="Cambria"/>
        <family val="1"/>
      </rPr>
      <t xml:space="preserve">19. At the time of truing up rate of interest with relevant reset date (if any) to be furnished separately
</t>
    </r>
    <r>
      <rPr>
        <sz val="11"/>
        <rFont val="Cambria"/>
        <family val="1"/>
      </rPr>
      <t>20.  At  the  time  of  truing  up  provide  details  of  refinancing  of  loans  considered  earlier.  Details  such  as  date  on  which  refinancing  done,  amount  of refinanced loan, terms and conditions of refinanced loan, financing and other charges incurred for refinancing etc.</t>
    </r>
  </si>
  <si>
    <r>
      <rPr>
        <b/>
        <sz val="11"/>
        <rFont val="Cambria"/>
        <family val="1"/>
      </rPr>
      <t>(Petitioner)</t>
    </r>
  </si>
  <si>
    <r>
      <rPr>
        <b/>
        <u val="single"/>
        <sz val="12"/>
        <rFont val="Cambria"/>
        <family val="1"/>
      </rPr>
      <t>Year wise Statement of Additional Capitalisation after COD</t>
    </r>
  </si>
  <si>
    <r>
      <rPr>
        <b/>
        <sz val="12"/>
        <rFont val="Cambria"/>
        <family val="1"/>
      </rPr>
      <t xml:space="preserve">PART 1
</t>
    </r>
    <r>
      <rPr>
        <b/>
        <sz val="12"/>
        <rFont val="Cambria"/>
        <family val="1"/>
      </rPr>
      <t>FORM- 9</t>
    </r>
  </si>
  <si>
    <r>
      <rPr>
        <b/>
        <sz val="12"/>
        <rFont val="Cambria"/>
        <family val="1"/>
      </rPr>
      <t xml:space="preserve">Name of the Petitioner
</t>
    </r>
    <r>
      <rPr>
        <b/>
        <sz val="12"/>
        <rFont val="Cambria"/>
        <family val="1"/>
      </rPr>
      <t xml:space="preserve">Name of the Generating Station COD
</t>
    </r>
    <r>
      <rPr>
        <b/>
        <sz val="12"/>
        <rFont val="Cambria"/>
        <family val="1"/>
      </rPr>
      <t>For Financial Year</t>
    </r>
  </si>
  <si>
    <r>
      <rPr>
        <b/>
        <sz val="11"/>
        <rFont val="Cambria"/>
        <family val="1"/>
      </rPr>
      <t>S. No.</t>
    </r>
  </si>
  <si>
    <r>
      <rPr>
        <b/>
        <sz val="11"/>
        <rFont val="Cambria"/>
        <family val="1"/>
      </rPr>
      <t>Head of Work / Equipment</t>
    </r>
  </si>
  <si>
    <r>
      <rPr>
        <b/>
        <sz val="11"/>
        <rFont val="Cambria"/>
        <family val="1"/>
      </rPr>
      <t>ACE Claimed (Actual / Projected)</t>
    </r>
  </si>
  <si>
    <r>
      <rPr>
        <b/>
        <sz val="11"/>
        <rFont val="Cambria"/>
        <family val="1"/>
      </rPr>
      <t>Regulations under which claimed</t>
    </r>
  </si>
  <si>
    <r>
      <rPr>
        <b/>
        <sz val="11"/>
        <rFont val="Cambria"/>
        <family val="1"/>
      </rPr>
      <t>Justification</t>
    </r>
  </si>
  <si>
    <r>
      <rPr>
        <b/>
        <sz val="11"/>
        <rFont val="Cambria"/>
        <family val="1"/>
      </rPr>
      <t xml:space="preserve">Admitted Cost by the
</t>
    </r>
    <r>
      <rPr>
        <b/>
        <sz val="11"/>
        <rFont val="Cambria"/>
        <family val="1"/>
      </rPr>
      <t>Commission, if any</t>
    </r>
  </si>
  <si>
    <r>
      <rPr>
        <b/>
        <sz val="11"/>
        <rFont val="Cambria"/>
        <family val="1"/>
      </rPr>
      <t>Accrual basis</t>
    </r>
  </si>
  <si>
    <r>
      <rPr>
        <b/>
        <sz val="11"/>
        <rFont val="Cambria"/>
        <family val="1"/>
      </rPr>
      <t>Un-discharged Liability included in column 3</t>
    </r>
  </si>
  <si>
    <r>
      <rPr>
        <b/>
        <sz val="11"/>
        <rFont val="Cambria"/>
        <family val="1"/>
      </rPr>
      <t>Cash basis</t>
    </r>
  </si>
  <si>
    <r>
      <rPr>
        <b/>
        <sz val="11"/>
        <rFont val="Cambria"/>
        <family val="1"/>
      </rPr>
      <t>IDC included in col. 3</t>
    </r>
  </si>
  <si>
    <r>
      <rPr>
        <b/>
        <sz val="12"/>
        <rFont val="Cambria"/>
        <family val="1"/>
      </rPr>
      <t>(5 = 3 - 4)</t>
    </r>
  </si>
  <si>
    <r>
      <rPr>
        <sz val="12"/>
        <rFont val="Cambria"/>
        <family val="1"/>
      </rPr>
      <t xml:space="preserve">1.   In case the project has been completed and cost has already been admitted under any tariff notification(s) in the past, fill column 9 giving the cost as admitted for the purpose of tariff notification already issued by (Name of the authority) (Enclose copy of the Tariff Order).
</t>
    </r>
    <r>
      <rPr>
        <sz val="12"/>
        <rFont val="Cambria"/>
        <family val="1"/>
      </rPr>
      <t xml:space="preserve">2.   The above information needs to be furnished separately for each year / period of tariff period 2019-24.
</t>
    </r>
    <r>
      <rPr>
        <sz val="12"/>
        <rFont val="Cambria"/>
        <family val="1"/>
      </rPr>
      <t xml:space="preserve">3.   In case of de-capitalisation of assets separate details to be furnished at column 1, 2, 3 and 4. Further, the original book value and year of capitalisation of such asset to be furnished at column 8. Where de-caps are on estimated basis the same to be shown separately.
</t>
    </r>
    <r>
      <rPr>
        <sz val="12"/>
        <rFont val="Cambria"/>
        <family val="1"/>
      </rPr>
      <t xml:space="preserve">4.   Where any asset is rendered unserviceable the same shall be treated as de-capitalised during that year and original value of such asset to be shown at col. 3. and impaired value if any, year of its capitalisation to be mentioned at column 8.
</t>
    </r>
    <r>
      <rPr>
        <sz val="12"/>
        <rFont val="Cambria"/>
        <family val="1"/>
      </rPr>
      <t>5.   Justification against each asset of capitalization should be specific to regulations under which claim has been made and the necessity of capitalization of that particular asset.</t>
    </r>
  </si>
  <si>
    <r>
      <rPr>
        <b/>
        <sz val="12"/>
        <rFont val="Cambria"/>
        <family val="1"/>
      </rPr>
      <t xml:space="preserve">Note:
</t>
    </r>
    <r>
      <rPr>
        <sz val="12"/>
        <rFont val="Cambria"/>
        <family val="1"/>
      </rPr>
      <t xml:space="preserve">1. Fill the form in chronological order year wise along with detailed justification clearly bringing out the necessity and the benefits accruing to the beneficiaries.
</t>
    </r>
    <r>
      <rPr>
        <sz val="12"/>
        <rFont val="Cambria"/>
        <family val="1"/>
      </rPr>
      <t xml:space="preserve">2. In case initial spares are purchased along with any equipment, then the cost of such spares should be indicated separately. e.g. Rotor -
</t>
    </r>
    <r>
      <rPr>
        <sz val="12"/>
        <rFont val="Cambria"/>
        <family val="1"/>
      </rPr>
      <t>50 Crs. Initial spares- 5 Crs.</t>
    </r>
  </si>
  <si>
    <r>
      <rPr>
        <b/>
        <sz val="12"/>
        <rFont val="Cambria"/>
        <family val="1"/>
      </rPr>
      <t xml:space="preserve">Name of the Petitioner
</t>
    </r>
    <r>
      <rPr>
        <b/>
        <sz val="12"/>
        <rFont val="Cambria"/>
        <family val="1"/>
      </rPr>
      <t>Name of the Generating Station Date of Commercial Operation</t>
    </r>
  </si>
  <si>
    <r>
      <rPr>
        <b/>
        <u val="single"/>
        <sz val="12"/>
        <rFont val="Cambria"/>
        <family val="1"/>
      </rPr>
      <t>Financing of Additional Capitalisation</t>
    </r>
  </si>
  <si>
    <r>
      <rPr>
        <b/>
        <sz val="12"/>
        <rFont val="Cambria"/>
        <family val="1"/>
      </rPr>
      <t xml:space="preserve">PART 1
</t>
    </r>
    <r>
      <rPr>
        <b/>
        <sz val="12"/>
        <rFont val="Cambria"/>
        <family val="1"/>
      </rPr>
      <t xml:space="preserve">FORM- 10
</t>
    </r>
    <r>
      <rPr>
        <sz val="12"/>
        <rFont val="Cambria"/>
        <family val="1"/>
      </rPr>
      <t>(Amount in Rs Lakh)</t>
    </r>
  </si>
  <si>
    <r>
      <rPr>
        <b/>
        <sz val="12"/>
        <rFont val="Cambria"/>
        <family val="1"/>
      </rPr>
      <t>Actual</t>
    </r>
  </si>
  <si>
    <r>
      <rPr>
        <b/>
        <sz val="12"/>
        <rFont val="Cambria"/>
        <family val="1"/>
      </rPr>
      <t>Admitted</t>
    </r>
  </si>
  <si>
    <r>
      <rPr>
        <b/>
        <sz val="12"/>
        <rFont val="Cambria"/>
        <family val="1"/>
      </rPr>
      <t>Financial Year (Starting from COD)</t>
    </r>
    <r>
      <rPr>
        <b/>
        <vertAlign val="superscript"/>
        <sz val="8"/>
        <rFont val="Cambria"/>
        <family val="1"/>
      </rPr>
      <t>1</t>
    </r>
  </si>
  <si>
    <r>
      <rPr>
        <b/>
        <sz val="12"/>
        <rFont val="Cambria"/>
        <family val="1"/>
      </rPr>
      <t>Year 3</t>
    </r>
  </si>
  <si>
    <r>
      <rPr>
        <b/>
        <sz val="12"/>
        <rFont val="Cambria"/>
        <family val="1"/>
      </rPr>
      <t>Year 4</t>
    </r>
  </si>
  <si>
    <r>
      <rPr>
        <b/>
        <sz val="12"/>
        <rFont val="Cambria"/>
        <family val="1"/>
      </rPr>
      <t>Year 5 &amp; So on</t>
    </r>
  </si>
  <si>
    <r>
      <rPr>
        <b/>
        <sz val="12"/>
        <rFont val="Cambria"/>
        <family val="1"/>
      </rPr>
      <t xml:space="preserve">Year 5
</t>
    </r>
    <r>
      <rPr>
        <b/>
        <sz val="12"/>
        <rFont val="Cambria"/>
        <family val="1"/>
      </rPr>
      <t>&amp; So on</t>
    </r>
  </si>
  <si>
    <r>
      <rPr>
        <b/>
        <sz val="12"/>
        <rFont val="Cambria"/>
        <family val="1"/>
      </rPr>
      <t xml:space="preserve">Amount capitalised in Work/
</t>
    </r>
    <r>
      <rPr>
        <b/>
        <sz val="12"/>
        <rFont val="Cambria"/>
        <family val="1"/>
      </rPr>
      <t>Equipment</t>
    </r>
  </si>
  <si>
    <r>
      <rPr>
        <b/>
        <sz val="12"/>
        <rFont val="Cambria"/>
        <family val="1"/>
      </rPr>
      <t>Financing Details</t>
    </r>
  </si>
  <si>
    <r>
      <rPr>
        <b/>
        <sz val="12"/>
        <rFont val="Cambria"/>
        <family val="1"/>
      </rPr>
      <t>Loan-1</t>
    </r>
  </si>
  <si>
    <r>
      <rPr>
        <b/>
        <sz val="12"/>
        <rFont val="Cambria"/>
        <family val="1"/>
      </rPr>
      <t>Loan-2</t>
    </r>
  </si>
  <si>
    <r>
      <rPr>
        <b/>
        <sz val="12"/>
        <rFont val="Cambria"/>
        <family val="1"/>
      </rPr>
      <t>Loan-3 and so on</t>
    </r>
  </si>
  <si>
    <r>
      <rPr>
        <b/>
        <sz val="12"/>
        <rFont val="Cambria"/>
        <family val="1"/>
      </rPr>
      <t>Total Loan</t>
    </r>
    <r>
      <rPr>
        <b/>
        <vertAlign val="superscript"/>
        <sz val="8"/>
        <rFont val="Cambria"/>
        <family val="1"/>
      </rPr>
      <t>2</t>
    </r>
  </si>
  <si>
    <r>
      <rPr>
        <b/>
        <sz val="12"/>
        <rFont val="Cambria"/>
        <family val="1"/>
      </rPr>
      <t>Equity</t>
    </r>
  </si>
  <si>
    <r>
      <rPr>
        <b/>
        <sz val="12"/>
        <rFont val="Cambria"/>
        <family val="1"/>
      </rPr>
      <t>Internal Resources</t>
    </r>
  </si>
  <si>
    <r>
      <rPr>
        <b/>
        <sz val="12"/>
        <rFont val="Cambria"/>
        <family val="1"/>
      </rPr>
      <t>Others (Pl. specify)</t>
    </r>
  </si>
  <si>
    <r>
      <rPr>
        <sz val="12"/>
        <rFont val="Cambria"/>
        <family val="1"/>
      </rPr>
      <t xml:space="preserve">Note:
</t>
    </r>
    <r>
      <rPr>
        <sz val="12"/>
        <rFont val="Cambria"/>
        <family val="1"/>
      </rPr>
      <t xml:space="preserve">1. Year 1 refers to Financial Year of COD and Year 2, Year 3 etc. are the subsequent financial years respectively.
</t>
    </r>
    <r>
      <rPr>
        <sz val="12"/>
        <rFont val="Cambria"/>
        <family val="1"/>
      </rPr>
      <t>2. Loan details for meeting the additional capitalisation requirement should be given as per FORM-7 or 8 whichever is relevant.</t>
    </r>
  </si>
  <si>
    <r>
      <rPr>
        <b/>
        <u val="single"/>
        <sz val="12"/>
        <rFont val="Cambria"/>
        <family val="1"/>
      </rPr>
      <t>Calculation of Depreciation</t>
    </r>
  </si>
  <si>
    <r>
      <rPr>
        <b/>
        <sz val="12"/>
        <rFont val="Cambria"/>
        <family val="1"/>
      </rPr>
      <t xml:space="preserve">PART 1
</t>
    </r>
    <r>
      <rPr>
        <b/>
        <sz val="12"/>
        <rFont val="Cambria"/>
        <family val="1"/>
      </rPr>
      <t>FORM- 11</t>
    </r>
  </si>
  <si>
    <r>
      <rPr>
        <b/>
        <sz val="12"/>
        <rFont val="Cambria"/>
        <family val="1"/>
      </rPr>
      <t>Name of the Petitioner                                                _</t>
    </r>
    <r>
      <rPr>
        <u val="single"/>
        <sz val="12"/>
        <rFont val="Times New Roman"/>
        <family val="1"/>
      </rPr>
      <t xml:space="preserve">                                                                           
</t>
    </r>
    <r>
      <rPr>
        <b/>
        <sz val="12"/>
        <rFont val="Cambria"/>
        <family val="1"/>
      </rPr>
      <t>Name of the Generating Station                             _</t>
    </r>
    <r>
      <rPr>
        <u val="single"/>
        <sz val="12"/>
        <rFont val="Times New Roman"/>
        <family val="1"/>
      </rPr>
      <t>                                                                           </t>
    </r>
  </si>
  <si>
    <r>
      <rPr>
        <sz val="12"/>
        <rFont val="Cambria"/>
        <family val="1"/>
      </rPr>
      <t>(Amount in Rs Lakh)</t>
    </r>
  </si>
  <si>
    <r>
      <rPr>
        <b/>
        <sz val="12"/>
        <rFont val="Cambria"/>
        <family val="1"/>
      </rPr>
      <t>Name of the Assets</t>
    </r>
    <r>
      <rPr>
        <b/>
        <vertAlign val="superscript"/>
        <sz val="8"/>
        <rFont val="Cambria"/>
        <family val="1"/>
      </rPr>
      <t>1</t>
    </r>
  </si>
  <si>
    <r>
      <rPr>
        <b/>
        <sz val="12"/>
        <rFont val="Cambria"/>
        <family val="1"/>
      </rPr>
      <t xml:space="preserve">Gross Block as on 31.03.2019 or as on COD, whichever is later and subsequently for each year
</t>
    </r>
    <r>
      <rPr>
        <b/>
        <sz val="12"/>
        <rFont val="Cambria"/>
        <family val="1"/>
      </rPr>
      <t>thereafter upto 31.3.2024</t>
    </r>
  </si>
  <si>
    <r>
      <rPr>
        <b/>
        <sz val="12"/>
        <rFont val="Cambria"/>
        <family val="1"/>
      </rPr>
      <t xml:space="preserve">Depreciation Rates as per CERC's
</t>
    </r>
    <r>
      <rPr>
        <b/>
        <sz val="12"/>
        <rFont val="Cambria"/>
        <family val="1"/>
      </rPr>
      <t xml:space="preserve">Depreciation
</t>
    </r>
    <r>
      <rPr>
        <b/>
        <sz val="12"/>
        <rFont val="Cambria"/>
        <family val="1"/>
      </rPr>
      <t>Rate Schedule</t>
    </r>
  </si>
  <si>
    <r>
      <rPr>
        <b/>
        <sz val="12"/>
        <rFont val="Cambria"/>
        <family val="1"/>
      </rPr>
      <t>Depreciation Amount for each year up to 31.03.2024</t>
    </r>
  </si>
  <si>
    <r>
      <rPr>
        <b/>
        <sz val="12"/>
        <rFont val="Cambria"/>
        <family val="1"/>
      </rPr>
      <t>5 = Col.3 X Col.4</t>
    </r>
  </si>
  <si>
    <r>
      <rPr>
        <sz val="12"/>
        <rFont val="Cambria"/>
        <family val="1"/>
      </rPr>
      <t>Land*</t>
    </r>
  </si>
  <si>
    <r>
      <rPr>
        <sz val="12"/>
        <rFont val="Cambria"/>
        <family val="1"/>
      </rPr>
      <t>Building</t>
    </r>
  </si>
  <si>
    <r>
      <rPr>
        <b/>
        <sz val="12"/>
        <rFont val="Cambria"/>
        <family val="1"/>
      </rPr>
      <t>TOTAL</t>
    </r>
  </si>
  <si>
    <r>
      <rPr>
        <b/>
        <sz val="12"/>
        <rFont val="Cambria"/>
        <family val="1"/>
      </rPr>
      <t xml:space="preserve">Weighted Average
</t>
    </r>
    <r>
      <rPr>
        <b/>
        <sz val="12"/>
        <rFont val="Cambria"/>
        <family val="1"/>
      </rPr>
      <t>Rate of</t>
    </r>
  </si>
  <si>
    <r>
      <rPr>
        <b/>
        <sz val="12"/>
        <rFont val="Cambria"/>
        <family val="1"/>
      </rPr>
      <t>Depreciation (%)</t>
    </r>
  </si>
  <si>
    <r>
      <rPr>
        <i/>
        <sz val="12"/>
        <rFont val="Palatino Linotype"/>
        <family val="1"/>
      </rPr>
      <t xml:space="preserve">*Provide details of Freehold land and Lease hold land separately
</t>
    </r>
    <r>
      <rPr>
        <sz val="12"/>
        <rFont val="Cambria"/>
        <family val="1"/>
      </rPr>
      <t xml:space="preserve">Note:
</t>
    </r>
    <r>
      <rPr>
        <sz val="12"/>
        <rFont val="Cambria"/>
        <family val="1"/>
      </rPr>
      <t>1. Name of the Assets should conform to the description of the assets mentioned in Depreciation Schedule appended to the Notification.</t>
    </r>
  </si>
  <si>
    <r>
      <rPr>
        <b/>
        <sz val="12"/>
        <rFont val="Cambria"/>
        <family val="1"/>
      </rPr>
      <t xml:space="preserve">(Petitioner)
</t>
    </r>
    <r>
      <rPr>
        <sz val="11"/>
        <rFont val="Calibri"/>
        <family val="1"/>
      </rPr>
      <t>25</t>
    </r>
  </si>
  <si>
    <r>
      <rPr>
        <b/>
        <u val="single"/>
        <sz val="12"/>
        <rFont val="Cambria"/>
        <family val="1"/>
      </rPr>
      <t>Statement of Depreciation</t>
    </r>
  </si>
  <si>
    <r>
      <rPr>
        <b/>
        <sz val="12"/>
        <rFont val="Cambria"/>
        <family val="1"/>
      </rPr>
      <t xml:space="preserve">PART 1
</t>
    </r>
    <r>
      <rPr>
        <b/>
        <sz val="12"/>
        <rFont val="Cambria"/>
        <family val="1"/>
      </rPr>
      <t xml:space="preserve">FORM- 12
</t>
    </r>
    <r>
      <rPr>
        <sz val="12"/>
        <rFont val="Cambria"/>
        <family val="1"/>
      </rPr>
      <t>(Amount in Rs Lakh)</t>
    </r>
  </si>
  <si>
    <r>
      <rPr>
        <sz val="12"/>
        <rFont val="Cambria"/>
        <family val="1"/>
      </rPr>
      <t>Closing Capital Cost</t>
    </r>
  </si>
  <si>
    <r>
      <rPr>
        <sz val="12"/>
        <rFont val="Cambria"/>
        <family val="1"/>
      </rPr>
      <t>Rate of depreciation</t>
    </r>
  </si>
  <si>
    <r>
      <rPr>
        <sz val="12"/>
        <rFont val="Cambria"/>
        <family val="1"/>
      </rPr>
      <t>Depreciable value</t>
    </r>
  </si>
  <si>
    <r>
      <rPr>
        <sz val="12"/>
        <rFont val="Cambria"/>
        <family val="1"/>
      </rPr>
      <t xml:space="preserve">Balance useful life at the beginning of the
</t>
    </r>
    <r>
      <rPr>
        <sz val="12"/>
        <rFont val="Cambria"/>
        <family val="1"/>
      </rPr>
      <t>period</t>
    </r>
  </si>
  <si>
    <r>
      <rPr>
        <sz val="12"/>
        <rFont val="Cambria"/>
        <family val="1"/>
      </rPr>
      <t>Remaining depreciable value</t>
    </r>
  </si>
  <si>
    <r>
      <rPr>
        <b/>
        <sz val="12"/>
        <rFont val="Cambria"/>
        <family val="1"/>
      </rPr>
      <t>Depreciation (for the period)</t>
    </r>
  </si>
  <si>
    <r>
      <rPr>
        <b/>
        <sz val="12"/>
        <rFont val="Cambria"/>
        <family val="1"/>
      </rPr>
      <t>Depreciation (annualised)</t>
    </r>
  </si>
  <si>
    <r>
      <rPr>
        <sz val="12"/>
        <rFont val="Cambria"/>
        <family val="1"/>
      </rPr>
      <t xml:space="preserve">Cumulative depreciation at the end of the
</t>
    </r>
    <r>
      <rPr>
        <sz val="12"/>
        <rFont val="Cambria"/>
        <family val="1"/>
      </rPr>
      <t>period</t>
    </r>
  </si>
  <si>
    <r>
      <rPr>
        <sz val="12"/>
        <rFont val="Cambria"/>
        <family val="1"/>
      </rPr>
      <t xml:space="preserve">Less: Cumulative depreciation adjustment on account of un-discharged
</t>
    </r>
    <r>
      <rPr>
        <sz val="12"/>
        <rFont val="Cambria"/>
        <family val="1"/>
      </rPr>
      <t>liabilities deducted as on 01.04.2009</t>
    </r>
  </si>
  <si>
    <r>
      <rPr>
        <sz val="12"/>
        <rFont val="Cambria"/>
        <family val="1"/>
      </rPr>
      <t xml:space="preserve">Less: Cumulative depreciation adjustment on account of de-
</t>
    </r>
    <r>
      <rPr>
        <sz val="12"/>
        <rFont val="Cambria"/>
        <family val="1"/>
      </rPr>
      <t>capitalisation</t>
    </r>
  </si>
  <si>
    <r>
      <rPr>
        <sz val="12"/>
        <rFont val="Cambria"/>
        <family val="1"/>
      </rPr>
      <t xml:space="preserve">Net Cumulative depreciation at the end
</t>
    </r>
    <r>
      <rPr>
        <sz val="12"/>
        <rFont val="Cambria"/>
        <family val="1"/>
      </rPr>
      <t>of the period</t>
    </r>
  </si>
  <si>
    <r>
      <rPr>
        <sz val="12"/>
        <rFont val="Cambria"/>
        <family val="1"/>
      </rPr>
      <t xml:space="preserve">1. In case of details of FERV, give information for the applicable period.
</t>
    </r>
    <r>
      <rPr>
        <sz val="11"/>
        <rFont val="Calibri"/>
        <family val="1"/>
      </rPr>
      <t>26</t>
    </r>
  </si>
  <si>
    <r>
      <rPr>
        <b/>
        <sz val="12"/>
        <rFont val="Cambria"/>
        <family val="1"/>
      </rPr>
      <t>Calculation of Weighted Average Rate of Interest on Actual Loans</t>
    </r>
    <r>
      <rPr>
        <b/>
        <vertAlign val="superscript"/>
        <sz val="8"/>
        <rFont val="Cambria"/>
        <family val="1"/>
      </rPr>
      <t>1</t>
    </r>
  </si>
  <si>
    <r>
      <rPr>
        <b/>
        <sz val="12"/>
        <rFont val="Cambria"/>
        <family val="1"/>
      </rPr>
      <t xml:space="preserve">PART 1
</t>
    </r>
    <r>
      <rPr>
        <b/>
        <sz val="12"/>
        <rFont val="Cambria"/>
        <family val="1"/>
      </rPr>
      <t>FORM- 13</t>
    </r>
  </si>
  <si>
    <r>
      <rPr>
        <sz val="12"/>
        <rFont val="Cambria"/>
        <family val="1"/>
      </rPr>
      <t>(Amount in Rs. Lakh)</t>
    </r>
  </si>
  <si>
    <r>
      <rPr>
        <sz val="12"/>
        <rFont val="Cambria"/>
        <family val="1"/>
      </rPr>
      <t>Gross loan - Opening</t>
    </r>
  </si>
  <si>
    <r>
      <rPr>
        <sz val="12"/>
        <rFont val="Cambria"/>
        <family val="1"/>
      </rPr>
      <t>Cumulative repayments of Loans upto previous year</t>
    </r>
  </si>
  <si>
    <r>
      <rPr>
        <sz val="12"/>
        <rFont val="Cambria"/>
        <family val="1"/>
      </rPr>
      <t>Net loan - Opening</t>
    </r>
  </si>
  <si>
    <r>
      <rPr>
        <sz val="12"/>
        <rFont val="Cambria"/>
        <family val="1"/>
      </rPr>
      <t>Add: Drawl(s) during the Year</t>
    </r>
  </si>
  <si>
    <r>
      <rPr>
        <sz val="12"/>
        <rFont val="Cambria"/>
        <family val="1"/>
      </rPr>
      <t>Less: Repayment (s) of Loans during the year</t>
    </r>
  </si>
  <si>
    <r>
      <rPr>
        <sz val="12"/>
        <rFont val="Cambria"/>
        <family val="1"/>
      </rPr>
      <t>Net loan - Closing</t>
    </r>
  </si>
  <si>
    <r>
      <rPr>
        <sz val="12"/>
        <rFont val="Cambria"/>
        <family val="1"/>
      </rPr>
      <t>Average Net Loan</t>
    </r>
  </si>
  <si>
    <r>
      <rPr>
        <sz val="12"/>
        <rFont val="Cambria"/>
        <family val="1"/>
      </rPr>
      <t>Rate of Interest on Loan on annual basis</t>
    </r>
  </si>
  <si>
    <r>
      <rPr>
        <sz val="12"/>
        <rFont val="Cambria"/>
        <family val="1"/>
      </rPr>
      <t>Interest on loan</t>
    </r>
  </si>
  <si>
    <r>
      <rPr>
        <b/>
        <sz val="12"/>
        <rFont val="Cambria"/>
        <family val="1"/>
      </rPr>
      <t>Total Loan</t>
    </r>
  </si>
  <si>
    <r>
      <rPr>
        <b/>
        <sz val="12"/>
        <rFont val="Cambria"/>
        <family val="1"/>
      </rPr>
      <t>Weighted average Rate of Interest on Loans</t>
    </r>
  </si>
  <si>
    <r>
      <rPr>
        <b/>
        <sz val="12"/>
        <rFont val="Cambria"/>
        <family val="1"/>
      </rPr>
      <t xml:space="preserve">Note:
</t>
    </r>
    <r>
      <rPr>
        <sz val="12"/>
        <rFont val="Cambria"/>
        <family val="1"/>
      </rPr>
      <t>1. In case of Foreign Loans, the calculations in Indian Rupees is to be furnished. However, the calculations in Original currency is also to be furnished separately in the same form.</t>
    </r>
  </si>
  <si>
    <r>
      <rPr>
        <b/>
        <u val="single"/>
        <sz val="12"/>
        <rFont val="Cambria"/>
        <family val="1"/>
      </rPr>
      <t>Draw Down Schedule for Calculation of IDC &amp; Financing Charges</t>
    </r>
  </si>
  <si>
    <r>
      <rPr>
        <b/>
        <sz val="12"/>
        <rFont val="Cambria"/>
        <family val="1"/>
      </rPr>
      <t xml:space="preserve">PART 1
</t>
    </r>
    <r>
      <rPr>
        <b/>
        <sz val="12"/>
        <rFont val="Cambria"/>
        <family val="1"/>
      </rPr>
      <t>FORM- 14</t>
    </r>
  </si>
  <si>
    <r>
      <rPr>
        <b/>
        <sz val="12"/>
        <rFont val="Cambria"/>
        <family val="1"/>
      </rPr>
      <t>Draw Down</t>
    </r>
  </si>
  <si>
    <r>
      <rPr>
        <b/>
        <sz val="12"/>
        <rFont val="Cambria"/>
        <family val="1"/>
      </rPr>
      <t>Quarter 1</t>
    </r>
  </si>
  <si>
    <r>
      <rPr>
        <b/>
        <sz val="12"/>
        <rFont val="Cambria"/>
        <family val="1"/>
      </rPr>
      <t>Quarter 2</t>
    </r>
  </si>
  <si>
    <r>
      <rPr>
        <b/>
        <sz val="12"/>
        <rFont val="Cambria"/>
        <family val="1"/>
      </rPr>
      <t>Quarter n (COD)</t>
    </r>
  </si>
  <si>
    <r>
      <rPr>
        <b/>
        <sz val="12"/>
        <rFont val="Cambria"/>
        <family val="1"/>
      </rPr>
      <t>Quantum in Foreign currency</t>
    </r>
  </si>
  <si>
    <r>
      <rPr>
        <b/>
        <sz val="12"/>
        <rFont val="Cambria"/>
        <family val="1"/>
      </rPr>
      <t xml:space="preserve">Exchange Rate on draw down
</t>
    </r>
    <r>
      <rPr>
        <b/>
        <sz val="12"/>
        <rFont val="Cambria"/>
        <family val="1"/>
      </rPr>
      <t>date</t>
    </r>
  </si>
  <si>
    <r>
      <rPr>
        <b/>
        <sz val="12"/>
        <rFont val="Cambria"/>
        <family val="1"/>
      </rPr>
      <t xml:space="preserve">Amount in Indian Rupee (Rs
</t>
    </r>
    <r>
      <rPr>
        <b/>
        <sz val="12"/>
        <rFont val="Cambria"/>
        <family val="1"/>
      </rPr>
      <t>Lakh)</t>
    </r>
  </si>
  <si>
    <r>
      <rPr>
        <b/>
        <sz val="12"/>
        <rFont val="Cambria"/>
        <family val="1"/>
      </rPr>
      <t>Loans</t>
    </r>
  </si>
  <si>
    <r>
      <rPr>
        <b/>
        <sz val="12"/>
        <rFont val="Cambria"/>
        <family val="1"/>
      </rPr>
      <t>Foreign Loans</t>
    </r>
  </si>
  <si>
    <r>
      <rPr>
        <sz val="12"/>
        <rFont val="Cambria"/>
        <family val="1"/>
      </rPr>
      <t>1.1.1</t>
    </r>
  </si>
  <si>
    <r>
      <rPr>
        <b/>
        <sz val="12"/>
        <rFont val="Cambria"/>
        <family val="1"/>
      </rPr>
      <t xml:space="preserve">Foreign Loan </t>
    </r>
    <r>
      <rPr>
        <b/>
        <vertAlign val="superscript"/>
        <sz val="8"/>
        <rFont val="Cambria"/>
        <family val="1"/>
      </rPr>
      <t>1</t>
    </r>
  </si>
  <si>
    <r>
      <rPr>
        <sz val="12"/>
        <rFont val="Cambria"/>
        <family val="1"/>
      </rPr>
      <t xml:space="preserve">Draw down
</t>
    </r>
    <r>
      <rPr>
        <sz val="12"/>
        <rFont val="Cambria"/>
        <family val="1"/>
      </rPr>
      <t>Amount</t>
    </r>
  </si>
  <si>
    <r>
      <rPr>
        <sz val="12"/>
        <rFont val="Cambria"/>
        <family val="1"/>
      </rPr>
      <t>IDC</t>
    </r>
  </si>
  <si>
    <r>
      <rPr>
        <sz val="12"/>
        <rFont val="Cambria"/>
        <family val="1"/>
      </rPr>
      <t>Financing charges</t>
    </r>
  </si>
  <si>
    <r>
      <rPr>
        <sz val="12"/>
        <rFont val="Cambria"/>
        <family val="1"/>
      </rPr>
      <t xml:space="preserve">Foreign Exchange
</t>
    </r>
    <r>
      <rPr>
        <sz val="12"/>
        <rFont val="Cambria"/>
        <family val="1"/>
      </rPr>
      <t>Rate Variation</t>
    </r>
  </si>
  <si>
    <r>
      <rPr>
        <sz val="12"/>
        <rFont val="Cambria"/>
        <family val="1"/>
      </rPr>
      <t>Hedging Cost</t>
    </r>
  </si>
  <si>
    <r>
      <rPr>
        <sz val="12"/>
        <rFont val="Cambria"/>
        <family val="1"/>
      </rPr>
      <t>1.1.2</t>
    </r>
  </si>
  <si>
    <r>
      <rPr>
        <b/>
        <sz val="12"/>
        <rFont val="Cambria"/>
        <family val="1"/>
      </rPr>
      <t xml:space="preserve">Foreign Loan </t>
    </r>
    <r>
      <rPr>
        <b/>
        <vertAlign val="superscript"/>
        <sz val="8"/>
        <rFont val="Cambria"/>
        <family val="1"/>
      </rPr>
      <t>2</t>
    </r>
  </si>
  <si>
    <r>
      <rPr>
        <sz val="12"/>
        <rFont val="Cambria"/>
        <family val="1"/>
      </rPr>
      <t>1.1.3</t>
    </r>
  </si>
  <si>
    <r>
      <rPr>
        <b/>
        <sz val="12"/>
        <rFont val="Cambria"/>
        <family val="1"/>
      </rPr>
      <t xml:space="preserve">Foreign Loan </t>
    </r>
    <r>
      <rPr>
        <b/>
        <vertAlign val="superscript"/>
        <sz val="8"/>
        <rFont val="Cambria"/>
        <family val="1"/>
      </rPr>
      <t>3</t>
    </r>
  </si>
  <si>
    <r>
      <rPr>
        <sz val="12"/>
        <rFont val="Cambria"/>
        <family val="1"/>
      </rPr>
      <t>1.1.4</t>
    </r>
  </si>
  <si>
    <r>
      <rPr>
        <sz val="12"/>
        <rFont val="Cambria"/>
        <family val="1"/>
      </rPr>
      <t>- -</t>
    </r>
  </si>
  <si>
    <r>
      <rPr>
        <b/>
        <sz val="12"/>
        <rFont val="Cambria"/>
        <family val="1"/>
      </rPr>
      <t xml:space="preserve">Total Foreign
</t>
    </r>
    <r>
      <rPr>
        <b/>
        <sz val="12"/>
        <rFont val="Cambria"/>
        <family val="1"/>
      </rPr>
      <t>Loans</t>
    </r>
  </si>
  <si>
    <r>
      <rPr>
        <b/>
        <sz val="12"/>
        <rFont val="Cambria"/>
        <family val="1"/>
      </rPr>
      <t>Indian Loans</t>
    </r>
  </si>
  <si>
    <r>
      <rPr>
        <sz val="12"/>
        <rFont val="Cambria"/>
        <family val="1"/>
      </rPr>
      <t>1.2.1</t>
    </r>
  </si>
  <si>
    <r>
      <rPr>
        <b/>
        <sz val="12"/>
        <rFont val="Cambria"/>
        <family val="1"/>
      </rPr>
      <t xml:space="preserve">Indian Loan </t>
    </r>
    <r>
      <rPr>
        <b/>
        <vertAlign val="superscript"/>
        <sz val="8"/>
        <rFont val="Cambria"/>
        <family val="1"/>
      </rPr>
      <t>1</t>
    </r>
  </si>
  <si>
    <r>
      <rPr>
        <sz val="12"/>
        <rFont val="Cambria"/>
        <family val="1"/>
      </rPr>
      <t>--</t>
    </r>
  </si>
  <si>
    <r>
      <rPr>
        <sz val="12"/>
        <rFont val="Cambria"/>
        <family val="1"/>
      </rPr>
      <t>1.2.2</t>
    </r>
  </si>
  <si>
    <r>
      <rPr>
        <b/>
        <sz val="12"/>
        <rFont val="Cambria"/>
        <family val="1"/>
      </rPr>
      <t xml:space="preserve">Indian Loan </t>
    </r>
    <r>
      <rPr>
        <b/>
        <vertAlign val="superscript"/>
        <sz val="8"/>
        <rFont val="Cambria"/>
        <family val="1"/>
      </rPr>
      <t>2</t>
    </r>
  </si>
  <si>
    <r>
      <rPr>
        <sz val="12"/>
        <rFont val="Cambria"/>
        <family val="1"/>
      </rPr>
      <t>1.2.3</t>
    </r>
  </si>
  <si>
    <r>
      <rPr>
        <b/>
        <sz val="12"/>
        <rFont val="Cambria"/>
        <family val="1"/>
      </rPr>
      <t xml:space="preserve">Indian Loan </t>
    </r>
    <r>
      <rPr>
        <b/>
        <vertAlign val="superscript"/>
        <sz val="8"/>
        <rFont val="Cambria"/>
        <family val="1"/>
      </rPr>
      <t>3</t>
    </r>
  </si>
  <si>
    <r>
      <rPr>
        <sz val="12"/>
        <rFont val="Cambria"/>
        <family val="1"/>
      </rPr>
      <t>1.2.4</t>
    </r>
  </si>
  <si>
    <r>
      <rPr>
        <b/>
        <sz val="12"/>
        <rFont val="Cambria"/>
        <family val="1"/>
      </rPr>
      <t>Total Indian Loans</t>
    </r>
  </si>
  <si>
    <r>
      <rPr>
        <b/>
        <sz val="12"/>
        <rFont val="Cambria"/>
        <family val="1"/>
      </rPr>
      <t xml:space="preserve">Total of Loans
</t>
    </r>
    <r>
      <rPr>
        <b/>
        <sz val="12"/>
        <rFont val="Cambria"/>
        <family val="1"/>
      </rPr>
      <t>drawn</t>
    </r>
  </si>
  <si>
    <r>
      <rPr>
        <b/>
        <sz val="12"/>
        <rFont val="Cambria"/>
        <family val="1"/>
      </rPr>
      <t>IDC</t>
    </r>
  </si>
  <si>
    <r>
      <rPr>
        <b/>
        <sz val="12"/>
        <rFont val="Cambria"/>
        <family val="1"/>
      </rPr>
      <t>Financing charges</t>
    </r>
  </si>
  <si>
    <r>
      <rPr>
        <b/>
        <sz val="12"/>
        <rFont val="Cambria"/>
        <family val="1"/>
      </rPr>
      <t xml:space="preserve">Foreign Exchange
</t>
    </r>
    <r>
      <rPr>
        <b/>
        <sz val="12"/>
        <rFont val="Cambria"/>
        <family val="1"/>
      </rPr>
      <t>Rate Variation</t>
    </r>
  </si>
  <si>
    <r>
      <rPr>
        <b/>
        <sz val="12"/>
        <rFont val="Cambria"/>
        <family val="1"/>
      </rPr>
      <t>Hedging Cost</t>
    </r>
  </si>
  <si>
    <r>
      <rPr>
        <b/>
        <sz val="12"/>
        <rFont val="Cambria"/>
        <family val="1"/>
      </rPr>
      <t xml:space="preserve">Foreign equity
</t>
    </r>
    <r>
      <rPr>
        <b/>
        <sz val="12"/>
        <rFont val="Cambria"/>
        <family val="1"/>
      </rPr>
      <t>drawn</t>
    </r>
  </si>
  <si>
    <r>
      <rPr>
        <b/>
        <sz val="12"/>
        <rFont val="Cambria"/>
        <family val="1"/>
      </rPr>
      <t xml:space="preserve">Indian equity
</t>
    </r>
    <r>
      <rPr>
        <b/>
        <sz val="12"/>
        <rFont val="Cambria"/>
        <family val="1"/>
      </rPr>
      <t>drawn</t>
    </r>
  </si>
  <si>
    <r>
      <rPr>
        <b/>
        <sz val="12"/>
        <rFont val="Cambria"/>
        <family val="1"/>
      </rPr>
      <t xml:space="preserve">Total equity
</t>
    </r>
    <r>
      <rPr>
        <b/>
        <sz val="12"/>
        <rFont val="Cambria"/>
        <family val="1"/>
      </rPr>
      <t>deployed</t>
    </r>
  </si>
  <si>
    <r>
      <rPr>
        <sz val="12"/>
        <rFont val="Cambria"/>
        <family val="1"/>
      </rPr>
      <t xml:space="preserve">Note:
</t>
    </r>
    <r>
      <rPr>
        <sz val="12"/>
        <rFont val="Cambria"/>
        <family val="1"/>
      </rPr>
      <t xml:space="preserve">1. Drawl of debt and equity shall be on pari-passu basis quarter wise to meet the commissioning schedule. Drawl of higher equity in the beginning is permissible
</t>
    </r>
    <r>
      <rPr>
        <sz val="12"/>
        <rFont val="Cambria"/>
        <family val="1"/>
      </rPr>
      <t xml:space="preserve">2. Applicable interest rates including reset dates used for above computation may be furnished separately
</t>
    </r>
    <r>
      <rPr>
        <sz val="12"/>
        <rFont val="Cambria"/>
        <family val="1"/>
      </rPr>
      <t>3. In case of multi unit project details of capitalization ratio used to be furnished.</t>
    </r>
  </si>
  <si>
    <r>
      <rPr>
        <b/>
        <u val="single"/>
        <sz val="12"/>
        <rFont val="Cambria"/>
        <family val="1"/>
      </rPr>
      <t>Details of Source wise Fuel for Computation of</t>
    </r>
    <r>
      <rPr>
        <b/>
        <sz val="12"/>
        <rFont val="Cambria"/>
        <family val="1"/>
      </rPr>
      <t xml:space="preserve"> Energy Charges</t>
    </r>
    <r>
      <rPr>
        <b/>
        <vertAlign val="superscript"/>
        <sz val="8"/>
        <rFont val="Cambria"/>
        <family val="1"/>
      </rPr>
      <t>1</t>
    </r>
  </si>
  <si>
    <r>
      <rPr>
        <b/>
        <sz val="12"/>
        <rFont val="Cambria"/>
        <family val="1"/>
      </rPr>
      <t xml:space="preserve">PART 1
</t>
    </r>
    <r>
      <rPr>
        <b/>
        <sz val="12"/>
        <rFont val="Cambria"/>
        <family val="1"/>
      </rPr>
      <t>FORM- 15</t>
    </r>
  </si>
  <si>
    <r>
      <rPr>
        <b/>
        <sz val="12"/>
        <rFont val="Cambria"/>
        <family val="1"/>
      </rPr>
      <t>Month</t>
    </r>
  </si>
  <si>
    <r>
      <rPr>
        <b/>
        <sz val="12"/>
        <rFont val="Cambria"/>
        <family val="1"/>
      </rPr>
      <t>For preceding</t>
    </r>
  </si>
  <si>
    <r>
      <rPr>
        <b/>
        <sz val="12"/>
        <rFont val="Cambria"/>
        <family val="1"/>
      </rPr>
      <t xml:space="preserve">3rd Month
</t>
    </r>
    <r>
      <rPr>
        <b/>
        <sz val="12"/>
        <rFont val="Cambria"/>
        <family val="1"/>
      </rPr>
      <t>(from COD or from 1.4.2019 as the case may be )</t>
    </r>
  </si>
  <si>
    <r>
      <rPr>
        <b/>
        <sz val="12"/>
        <rFont val="Cambria"/>
        <family val="1"/>
      </rPr>
      <t xml:space="preserve">2nd Month (from COD or from 1.4.2019 as the case
</t>
    </r>
    <r>
      <rPr>
        <b/>
        <sz val="12"/>
        <rFont val="Cambria"/>
        <family val="1"/>
      </rPr>
      <t>may be )</t>
    </r>
  </si>
  <si>
    <r>
      <rPr>
        <b/>
        <sz val="12"/>
        <rFont val="Cambria"/>
        <family val="1"/>
      </rPr>
      <t xml:space="preserve">1st Month (from COD or from
</t>
    </r>
    <r>
      <rPr>
        <b/>
        <sz val="12"/>
        <rFont val="Cambria"/>
        <family val="1"/>
      </rPr>
      <t>1.4.2019 as the case may be )</t>
    </r>
  </si>
  <si>
    <r>
      <rPr>
        <sz val="10"/>
        <rFont val="Cambria"/>
        <family val="1"/>
      </rPr>
      <t>Domestic Source (1)</t>
    </r>
  </si>
  <si>
    <r>
      <rPr>
        <sz val="10"/>
        <rFont val="Cambria"/>
        <family val="1"/>
      </rPr>
      <t xml:space="preserve">Domestic
</t>
    </r>
    <r>
      <rPr>
        <sz val="10"/>
        <rFont val="Cambria"/>
        <family val="1"/>
      </rPr>
      <t>Source (2)</t>
    </r>
  </si>
  <si>
    <r>
      <rPr>
        <sz val="10"/>
        <rFont val="Cambria"/>
        <family val="1"/>
      </rPr>
      <t>Imported</t>
    </r>
  </si>
  <si>
    <r>
      <rPr>
        <sz val="10"/>
        <rFont val="Cambria"/>
        <family val="1"/>
      </rPr>
      <t>Domestic</t>
    </r>
  </si>
  <si>
    <r>
      <rPr>
        <b/>
        <sz val="12"/>
        <rFont val="Cambria"/>
        <family val="1"/>
      </rPr>
      <t>A)</t>
    </r>
  </si>
  <si>
    <r>
      <rPr>
        <b/>
        <sz val="12"/>
        <rFont val="Cambria"/>
        <family val="1"/>
      </rPr>
      <t>OPENING QUANTITY</t>
    </r>
  </si>
  <si>
    <r>
      <rPr>
        <sz val="12"/>
        <rFont val="Cambria"/>
        <family val="1"/>
      </rPr>
      <t xml:space="preserve">Opening Quantity of
</t>
    </r>
    <r>
      <rPr>
        <sz val="12"/>
        <rFont val="Cambria"/>
        <family val="1"/>
      </rPr>
      <t>Coal/Lignite</t>
    </r>
  </si>
  <si>
    <r>
      <rPr>
        <sz val="12"/>
        <rFont val="Cambria"/>
        <family val="1"/>
      </rPr>
      <t>(MMT)</t>
    </r>
  </si>
  <si>
    <r>
      <rPr>
        <sz val="12"/>
        <rFont val="Cambria"/>
        <family val="1"/>
      </rPr>
      <t>Value of Stock</t>
    </r>
  </si>
  <si>
    <r>
      <rPr>
        <b/>
        <sz val="12"/>
        <rFont val="Cambria"/>
        <family val="1"/>
      </rPr>
      <t>B)</t>
    </r>
  </si>
  <si>
    <r>
      <rPr>
        <b/>
        <sz val="12"/>
        <rFont val="Cambria"/>
        <family val="1"/>
      </rPr>
      <t>QUANTITY</t>
    </r>
  </si>
  <si>
    <r>
      <rPr>
        <sz val="12"/>
        <rFont val="Cambria"/>
        <family val="1"/>
      </rPr>
      <t xml:space="preserve">Quantity of Coal/Lignite supplied by Coal/Lignite
</t>
    </r>
    <r>
      <rPr>
        <sz val="12"/>
        <rFont val="Cambria"/>
        <family val="1"/>
      </rPr>
      <t>Company</t>
    </r>
  </si>
  <si>
    <r>
      <rPr>
        <sz val="12"/>
        <rFont val="Cambria"/>
        <family val="1"/>
      </rPr>
      <t xml:space="preserve">Adjustment (+/-) in quantity supplied made by
</t>
    </r>
    <r>
      <rPr>
        <sz val="12"/>
        <rFont val="Cambria"/>
        <family val="1"/>
      </rPr>
      <t>Coal/Lignite Company</t>
    </r>
  </si>
  <si>
    <r>
      <rPr>
        <sz val="12"/>
        <rFont val="Cambria"/>
        <family val="1"/>
      </rPr>
      <t xml:space="preserve">Coal supplied by Coal/Lignite
</t>
    </r>
    <r>
      <rPr>
        <sz val="12"/>
        <rFont val="Cambria"/>
        <family val="1"/>
      </rPr>
      <t>Company (3+4)</t>
    </r>
  </si>
  <si>
    <r>
      <rPr>
        <sz val="12"/>
        <rFont val="Cambria"/>
        <family val="1"/>
      </rPr>
      <t xml:space="preserve">Normative Transit &amp;
</t>
    </r>
    <r>
      <rPr>
        <sz val="12"/>
        <rFont val="Cambria"/>
        <family val="1"/>
      </rPr>
      <t>Handling Losses (For</t>
    </r>
  </si>
  <si>
    <r>
      <rPr>
        <sz val="12"/>
        <rFont val="Cambria"/>
        <family val="1"/>
      </rPr>
      <t>coal/Lignite based Projects)</t>
    </r>
  </si>
  <si>
    <r>
      <rPr>
        <sz val="12"/>
        <rFont val="Cambria"/>
        <family val="1"/>
      </rPr>
      <t xml:space="preserve">Net coal / Lignite Supplied (3-
</t>
    </r>
    <r>
      <rPr>
        <sz val="12"/>
        <rFont val="Cambria"/>
        <family val="1"/>
      </rPr>
      <t>4)</t>
    </r>
  </si>
  <si>
    <r>
      <rPr>
        <b/>
        <sz val="12"/>
        <rFont val="Cambria"/>
        <family val="1"/>
      </rPr>
      <t>C)</t>
    </r>
  </si>
  <si>
    <r>
      <rPr>
        <b/>
        <sz val="12"/>
        <rFont val="Cambria"/>
        <family val="1"/>
      </rPr>
      <t>PRICE</t>
    </r>
  </si>
  <si>
    <r>
      <rPr>
        <sz val="12"/>
        <rFont val="Cambria"/>
        <family val="1"/>
      </rPr>
      <t xml:space="preserve">Amount charged by the Coal
</t>
    </r>
    <r>
      <rPr>
        <sz val="12"/>
        <rFont val="Cambria"/>
        <family val="1"/>
      </rPr>
      <t>/Lignite Company</t>
    </r>
  </si>
  <si>
    <r>
      <rPr>
        <sz val="12"/>
        <rFont val="Cambria"/>
        <family val="1"/>
      </rPr>
      <t>(Rs.)</t>
    </r>
  </si>
  <si>
    <r>
      <rPr>
        <sz val="12"/>
        <rFont val="Cambria"/>
        <family val="1"/>
      </rPr>
      <t xml:space="preserve">Adjustment (+/-) in amount charged made by
</t>
    </r>
    <r>
      <rPr>
        <sz val="12"/>
        <rFont val="Cambria"/>
        <family val="1"/>
      </rPr>
      <t>Coal/Lignite Company</t>
    </r>
  </si>
  <si>
    <r>
      <rPr>
        <sz val="12"/>
        <rFont val="Cambria"/>
        <family val="1"/>
      </rPr>
      <t xml:space="preserve">Handling, Sampling and such
</t>
    </r>
    <r>
      <rPr>
        <sz val="12"/>
        <rFont val="Cambria"/>
        <family val="1"/>
      </rPr>
      <t>other similar charges</t>
    </r>
  </si>
  <si>
    <r>
      <rPr>
        <sz val="12"/>
        <rFont val="Cambria"/>
        <family val="1"/>
      </rPr>
      <t xml:space="preserve">Total amount Charged
</t>
    </r>
    <r>
      <rPr>
        <sz val="12"/>
        <rFont val="Cambria"/>
        <family val="1"/>
      </rPr>
      <t>(8+9+10)</t>
    </r>
  </si>
  <si>
    <r>
      <rPr>
        <b/>
        <sz val="12"/>
        <rFont val="Cambria"/>
        <family val="1"/>
      </rPr>
      <t>D)</t>
    </r>
  </si>
  <si>
    <r>
      <rPr>
        <b/>
        <sz val="12"/>
        <rFont val="Cambria"/>
        <family val="1"/>
      </rPr>
      <t>TRANSPORATION</t>
    </r>
  </si>
  <si>
    <r>
      <rPr>
        <sz val="12"/>
        <rFont val="Cambria"/>
        <family val="1"/>
      </rPr>
      <t xml:space="preserve">Transportation charges by
</t>
    </r>
    <r>
      <rPr>
        <sz val="12"/>
        <rFont val="Cambria"/>
        <family val="1"/>
      </rPr>
      <t>rail/ship/road transport</t>
    </r>
  </si>
  <si>
    <r>
      <rPr>
        <sz val="12"/>
        <rFont val="Cambria"/>
        <family val="1"/>
      </rPr>
      <t>By Rail</t>
    </r>
  </si>
  <si>
    <r>
      <rPr>
        <sz val="12"/>
        <rFont val="Cambria"/>
        <family val="1"/>
      </rPr>
      <t>By Road</t>
    </r>
  </si>
  <si>
    <r>
      <rPr>
        <sz val="12"/>
        <rFont val="Cambria"/>
        <family val="1"/>
      </rPr>
      <t>By Ship</t>
    </r>
  </si>
  <si>
    <r>
      <rPr>
        <sz val="12"/>
        <rFont val="Cambria"/>
        <family val="1"/>
      </rPr>
      <t>……..</t>
    </r>
  </si>
  <si>
    <r>
      <rPr>
        <sz val="12"/>
        <rFont val="Cambria"/>
        <family val="1"/>
      </rPr>
      <t>Adjustment (+/-) in amount charged made by</t>
    </r>
  </si>
  <si>
    <r>
      <rPr>
        <sz val="12"/>
        <rFont val="Cambria"/>
        <family val="1"/>
      </rPr>
      <t>Railways/Transport Company</t>
    </r>
  </si>
  <si>
    <r>
      <rPr>
        <sz val="12"/>
        <rFont val="Cambria"/>
        <family val="1"/>
      </rPr>
      <t>Demurrage Charges, if any</t>
    </r>
  </si>
  <si>
    <r>
      <rPr>
        <sz val="12"/>
        <rFont val="Cambria"/>
        <family val="1"/>
      </rPr>
      <t>( Rs.)</t>
    </r>
  </si>
  <si>
    <r>
      <rPr>
        <sz val="12"/>
        <rFont val="Cambria"/>
        <family val="1"/>
      </rPr>
      <t xml:space="preserve">Cost of diesel in transporting
</t>
    </r>
    <r>
      <rPr>
        <sz val="12"/>
        <rFont val="Cambria"/>
        <family val="1"/>
      </rPr>
      <t>coal through MGR system, if applicable</t>
    </r>
  </si>
  <si>
    <r>
      <rPr>
        <sz val="12"/>
        <rFont val="Cambria"/>
        <family val="1"/>
      </rPr>
      <t xml:space="preserve">Total Transportation Charges
</t>
    </r>
    <r>
      <rPr>
        <sz val="12"/>
        <rFont val="Cambria"/>
        <family val="1"/>
      </rPr>
      <t>(12+13+14+15)</t>
    </r>
  </si>
  <si>
    <r>
      <rPr>
        <sz val="12"/>
        <rFont val="Cambria"/>
        <family val="1"/>
      </rPr>
      <t xml:space="preserve">Total amount Charged for coal/lignite supplied including Transportation
</t>
    </r>
    <r>
      <rPr>
        <sz val="12"/>
        <rFont val="Cambria"/>
        <family val="1"/>
      </rPr>
      <t>(11+16)</t>
    </r>
  </si>
  <si>
    <r>
      <rPr>
        <b/>
        <sz val="12"/>
        <rFont val="Cambria"/>
        <family val="1"/>
      </rPr>
      <t>E)</t>
    </r>
  </si>
  <si>
    <r>
      <rPr>
        <b/>
        <sz val="12"/>
        <rFont val="Cambria"/>
        <family val="1"/>
      </rPr>
      <t>TOTAL COST</t>
    </r>
  </si>
  <si>
    <r>
      <rPr>
        <sz val="12"/>
        <rFont val="Cambria"/>
        <family val="1"/>
      </rPr>
      <t xml:space="preserve">Landed cost of  coal/ Lignite
</t>
    </r>
    <r>
      <rPr>
        <sz val="12"/>
        <rFont val="Cambria"/>
        <family val="1"/>
      </rPr>
      <t>(2+17)/(1+7)</t>
    </r>
  </si>
  <si>
    <r>
      <rPr>
        <sz val="12"/>
        <rFont val="Cambria"/>
        <family val="1"/>
      </rPr>
      <t>Rs./MT</t>
    </r>
  </si>
  <si>
    <r>
      <rPr>
        <sz val="12"/>
        <rFont val="Cambria"/>
        <family val="1"/>
      </rPr>
      <t xml:space="preserve">Blending Ratio
</t>
    </r>
    <r>
      <rPr>
        <sz val="12"/>
        <rFont val="Cambria"/>
        <family val="1"/>
      </rPr>
      <t>(Domestic/Imported)</t>
    </r>
  </si>
  <si>
    <r>
      <rPr>
        <sz val="12"/>
        <rFont val="Cambria"/>
        <family val="1"/>
      </rPr>
      <t xml:space="preserve">Weighted average cost   of coal/ Lignite   for preceding
</t>
    </r>
    <r>
      <rPr>
        <sz val="12"/>
        <rFont val="Cambria"/>
        <family val="1"/>
      </rPr>
      <t>three months</t>
    </r>
  </si>
  <si>
    <r>
      <rPr>
        <b/>
        <sz val="12"/>
        <rFont val="Cambria"/>
        <family val="1"/>
      </rPr>
      <t>F)</t>
    </r>
  </si>
  <si>
    <r>
      <rPr>
        <b/>
        <sz val="12"/>
        <rFont val="Cambria"/>
        <family val="1"/>
      </rPr>
      <t>QUALITY</t>
    </r>
  </si>
  <si>
    <r>
      <rPr>
        <sz val="12"/>
        <rFont val="Cambria"/>
        <family val="1"/>
      </rPr>
      <t xml:space="preserve">GCV of Domestic Coal of the
</t>
    </r>
    <r>
      <rPr>
        <sz val="12"/>
        <rFont val="Cambria"/>
        <family val="1"/>
      </rPr>
      <t>opening coal stock as per bill of Coal Company</t>
    </r>
  </si>
  <si>
    <r>
      <rPr>
        <sz val="12"/>
        <rFont val="Cambria"/>
        <family val="1"/>
      </rPr>
      <t>(kCal/Kg)</t>
    </r>
  </si>
  <si>
    <r>
      <rPr>
        <sz val="12"/>
        <rFont val="Cambria"/>
        <family val="1"/>
      </rPr>
      <t xml:space="preserve">GCV of Domestic Coal
</t>
    </r>
    <r>
      <rPr>
        <sz val="12"/>
        <rFont val="Cambria"/>
        <family val="1"/>
      </rPr>
      <t>supplied as per bill of Coal Company</t>
    </r>
  </si>
  <si>
    <r>
      <rPr>
        <sz val="12"/>
        <rFont val="Cambria"/>
        <family val="1"/>
      </rPr>
      <t xml:space="preserve">GCV of Imported Coal of the opening  stock as per bill Coal
</t>
    </r>
    <r>
      <rPr>
        <sz val="12"/>
        <rFont val="Cambria"/>
        <family val="1"/>
      </rPr>
      <t>Company</t>
    </r>
  </si>
  <si>
    <r>
      <rPr>
        <sz val="12"/>
        <rFont val="Cambria"/>
        <family val="1"/>
      </rPr>
      <t xml:space="preserve">GCV of Imported Coal supplied as per bill Coal
</t>
    </r>
    <r>
      <rPr>
        <sz val="12"/>
        <rFont val="Cambria"/>
        <family val="1"/>
      </rPr>
      <t>Company</t>
    </r>
  </si>
  <si>
    <r>
      <rPr>
        <sz val="12"/>
        <rFont val="Cambria"/>
        <family val="1"/>
      </rPr>
      <t xml:space="preserve">Weighted average GCV of
</t>
    </r>
    <r>
      <rPr>
        <sz val="12"/>
        <rFont val="Cambria"/>
        <family val="1"/>
      </rPr>
      <t>coal/ Lignite as Billed</t>
    </r>
  </si>
  <si>
    <r>
      <rPr>
        <sz val="12"/>
        <rFont val="Cambria"/>
        <family val="1"/>
      </rPr>
      <t xml:space="preserve">GCV of Domestic Coal of the
</t>
    </r>
    <r>
      <rPr>
        <sz val="12"/>
        <rFont val="Cambria"/>
        <family val="1"/>
      </rPr>
      <t>opening stock as received at Station</t>
    </r>
  </si>
  <si>
    <r>
      <rPr>
        <sz val="12"/>
        <rFont val="Cambria"/>
        <family val="1"/>
      </rPr>
      <t xml:space="preserve">GCV of Domestic Coal
</t>
    </r>
    <r>
      <rPr>
        <sz val="12"/>
        <rFont val="Cambria"/>
        <family val="1"/>
      </rPr>
      <t>supplied as received at Station</t>
    </r>
  </si>
  <si>
    <r>
      <rPr>
        <sz val="12"/>
        <rFont val="Cambria"/>
        <family val="1"/>
      </rPr>
      <t xml:space="preserve">GCV of Imported Coal of opening stock as received at
</t>
    </r>
    <r>
      <rPr>
        <sz val="12"/>
        <rFont val="Cambria"/>
        <family val="1"/>
      </rPr>
      <t>Station</t>
    </r>
  </si>
  <si>
    <r>
      <rPr>
        <sz val="12"/>
        <rFont val="Cambria"/>
        <family val="1"/>
      </rPr>
      <t xml:space="preserve">Weighted average GCV of
</t>
    </r>
    <r>
      <rPr>
        <sz val="12"/>
        <rFont val="Cambria"/>
        <family val="1"/>
      </rPr>
      <t>coal/ Lignite as Received</t>
    </r>
  </si>
  <si>
    <r>
      <rPr>
        <b/>
        <sz val="12"/>
        <rFont val="Cambria"/>
        <family val="1"/>
      </rPr>
      <t xml:space="preserve">Note:
</t>
    </r>
    <r>
      <rPr>
        <sz val="12"/>
        <rFont val="Cambria"/>
        <family val="1"/>
      </rPr>
      <t xml:space="preserve">1.   Similar details to be furnished for natural gas/liquid fuel for CCGT station and secondary fuel oil for coal/lignite based thermal plants with appropriate units.
</t>
    </r>
    <r>
      <rPr>
        <sz val="12"/>
        <rFont val="Cambria"/>
        <family val="1"/>
      </rPr>
      <t xml:space="preserve">2.   As billed and as received GCV, quantity of coal, and price should be submitted as certified by statutory auditor.
</t>
    </r>
    <r>
      <rPr>
        <sz val="12"/>
        <rFont val="Cambria"/>
        <family val="1"/>
      </rPr>
      <t xml:space="preserve">3.   Details to be provided for each source separately. In case of more than one source, add additional column.
</t>
    </r>
    <r>
      <rPr>
        <sz val="12"/>
        <rFont val="Cambria"/>
        <family val="1"/>
      </rPr>
      <t>4.   Break up of the amount charged by the Coal Company is to be provided separately.</t>
    </r>
  </si>
  <si>
    <r>
      <rPr>
        <b/>
        <u val="single"/>
        <sz val="12"/>
        <rFont val="Cambria"/>
        <family val="1"/>
      </rPr>
      <t>Details of Limestone for</t>
    </r>
    <r>
      <rPr>
        <b/>
        <sz val="12"/>
        <rFont val="Cambria"/>
        <family val="1"/>
      </rPr>
      <t xml:space="preserve"> </t>
    </r>
    <r>
      <rPr>
        <b/>
        <u val="single"/>
        <sz val="12"/>
        <rFont val="Cambria"/>
        <family val="1"/>
      </rPr>
      <t>Computation of Energy Charge Rate</t>
    </r>
  </si>
  <si>
    <r>
      <rPr>
        <b/>
        <sz val="12"/>
        <rFont val="Cambria"/>
        <family val="1"/>
      </rPr>
      <t xml:space="preserve">PART 1
</t>
    </r>
    <r>
      <rPr>
        <b/>
        <sz val="12"/>
        <rFont val="Cambria"/>
        <family val="1"/>
      </rPr>
      <t>FORM- 16</t>
    </r>
  </si>
  <si>
    <r>
      <rPr>
        <b/>
        <sz val="11"/>
        <rFont val="Cambria"/>
        <family val="1"/>
      </rPr>
      <t>Month</t>
    </r>
  </si>
  <si>
    <r>
      <rPr>
        <b/>
        <sz val="11"/>
        <rFont val="Cambria"/>
        <family val="1"/>
      </rPr>
      <t>For preceding</t>
    </r>
  </si>
  <si>
    <r>
      <rPr>
        <sz val="11"/>
        <rFont val="Cambria"/>
        <family val="1"/>
      </rPr>
      <t xml:space="preserve">3rd Month (from COD or from 1.4.2019 as the case
</t>
    </r>
    <r>
      <rPr>
        <sz val="11"/>
        <rFont val="Cambria"/>
        <family val="1"/>
      </rPr>
      <t>may be )</t>
    </r>
  </si>
  <si>
    <r>
      <rPr>
        <sz val="11"/>
        <rFont val="Cambria"/>
        <family val="1"/>
      </rPr>
      <t xml:space="preserve">2nd Month (from COD or from 1.4.2019 as the case
</t>
    </r>
    <r>
      <rPr>
        <sz val="11"/>
        <rFont val="Cambria"/>
        <family val="1"/>
      </rPr>
      <t>may be )</t>
    </r>
  </si>
  <si>
    <r>
      <rPr>
        <sz val="11"/>
        <rFont val="Cambria"/>
        <family val="1"/>
      </rPr>
      <t xml:space="preserve">1st Month (from COD or from 1.4.2019 as the case
</t>
    </r>
    <r>
      <rPr>
        <sz val="11"/>
        <rFont val="Cambria"/>
        <family val="1"/>
      </rPr>
      <t>may be )</t>
    </r>
  </si>
  <si>
    <r>
      <rPr>
        <sz val="11"/>
        <rFont val="Cambria"/>
        <family val="1"/>
      </rPr>
      <t>Quantity of Limestone supplied by Limestone supply Company</t>
    </r>
  </si>
  <si>
    <r>
      <rPr>
        <sz val="11"/>
        <rFont val="Cambria"/>
        <family val="1"/>
      </rPr>
      <t>(MMT)</t>
    </r>
  </si>
  <si>
    <r>
      <rPr>
        <sz val="11"/>
        <rFont val="Cambria"/>
        <family val="1"/>
      </rPr>
      <t>Adjustment (+/-) in quantity supplied made by Limestone supply Company</t>
    </r>
  </si>
  <si>
    <r>
      <rPr>
        <sz val="11"/>
        <rFont val="Cambria"/>
        <family val="1"/>
      </rPr>
      <t>Limestone supplied by Limestone supply Company(1+2)</t>
    </r>
  </si>
  <si>
    <r>
      <rPr>
        <sz val="11"/>
        <rFont val="Cambria"/>
        <family val="1"/>
      </rPr>
      <t>Net Limestone Supplied (3-4)</t>
    </r>
  </si>
  <si>
    <r>
      <rPr>
        <sz val="11"/>
        <rFont val="Cambria"/>
        <family val="1"/>
      </rPr>
      <t>Amount charged by the Limestone supply Company</t>
    </r>
  </si>
  <si>
    <r>
      <rPr>
        <sz val="11"/>
        <rFont val="Cambria"/>
        <family val="1"/>
      </rPr>
      <t>(Rs.)</t>
    </r>
  </si>
  <si>
    <r>
      <rPr>
        <sz val="11"/>
        <rFont val="Cambria"/>
        <family val="1"/>
      </rPr>
      <t xml:space="preserve">Adjustment (+/-) in amount charged
</t>
    </r>
    <r>
      <rPr>
        <sz val="11"/>
        <rFont val="Cambria"/>
        <family val="1"/>
      </rPr>
      <t>made by Limestone supply Company</t>
    </r>
  </si>
  <si>
    <r>
      <rPr>
        <sz val="11"/>
        <rFont val="Cambria"/>
        <family val="1"/>
      </rPr>
      <t>Total amount Charged (6+7)</t>
    </r>
  </si>
  <si>
    <r>
      <rPr>
        <sz val="11"/>
        <rFont val="Cambria"/>
        <family val="1"/>
      </rPr>
      <t>Transportation charges by rail/ship/road transport</t>
    </r>
  </si>
  <si>
    <r>
      <rPr>
        <sz val="11"/>
        <rFont val="Cambria"/>
        <family val="1"/>
      </rPr>
      <t>( Rs.)</t>
    </r>
  </si>
  <si>
    <r>
      <rPr>
        <sz val="11"/>
        <rFont val="Cambria"/>
        <family val="1"/>
      </rPr>
      <t>Adjustment (+/-) in amount charged made by Railways/Transport Company</t>
    </r>
  </si>
  <si>
    <r>
      <rPr>
        <sz val="11"/>
        <rFont val="Cambria"/>
        <family val="1"/>
      </rPr>
      <t>Demurrage Charges, if any</t>
    </r>
  </si>
  <si>
    <r>
      <rPr>
        <sz val="11"/>
        <rFont val="Cambria"/>
        <family val="1"/>
      </rPr>
      <t>Total Transportation Charges (8+/-9-10)</t>
    </r>
  </si>
  <si>
    <r>
      <rPr>
        <sz val="11"/>
        <rFont val="Cambria"/>
        <family val="1"/>
      </rPr>
      <t xml:space="preserve">Total amount Charged for Limestone supplied including
</t>
    </r>
    <r>
      <rPr>
        <sz val="11"/>
        <rFont val="Cambria"/>
        <family val="1"/>
      </rPr>
      <t>Transportation (7+11)</t>
    </r>
  </si>
  <si>
    <r>
      <rPr>
        <b/>
        <u val="single"/>
        <sz val="12"/>
        <rFont val="Cambria"/>
        <family val="1"/>
      </rPr>
      <t>Details of Capital Spares</t>
    </r>
  </si>
  <si>
    <r>
      <rPr>
        <b/>
        <sz val="12"/>
        <rFont val="Cambria"/>
        <family val="1"/>
      </rPr>
      <t xml:space="preserve">PART 1
</t>
    </r>
    <r>
      <rPr>
        <b/>
        <sz val="12"/>
        <rFont val="Cambria"/>
        <family val="1"/>
      </rPr>
      <t>FORM- 17</t>
    </r>
  </si>
  <si>
    <r>
      <rPr>
        <b/>
        <sz val="12"/>
        <rFont val="Cambria"/>
        <family val="1"/>
      </rPr>
      <t>Details of Capital Spares and Expenses</t>
    </r>
  </si>
  <si>
    <r>
      <rPr>
        <b/>
        <sz val="12"/>
        <rFont val="Cambria"/>
        <family val="1"/>
      </rPr>
      <t xml:space="preserve">Claimed as a part of additional
</t>
    </r>
    <r>
      <rPr>
        <b/>
        <sz val="12"/>
        <rFont val="Cambria"/>
        <family val="1"/>
      </rPr>
      <t>Capitalisation</t>
    </r>
  </si>
  <si>
    <r>
      <rPr>
        <b/>
        <sz val="12"/>
        <rFont val="Cambria"/>
        <family val="1"/>
      </rPr>
      <t xml:space="preserve">Funded through compensatory
</t>
    </r>
    <r>
      <rPr>
        <b/>
        <sz val="12"/>
        <rFont val="Cambria"/>
        <family val="1"/>
      </rPr>
      <t>allowance</t>
    </r>
  </si>
  <si>
    <r>
      <rPr>
        <b/>
        <sz val="12"/>
        <rFont val="Cambria"/>
        <family val="1"/>
      </rPr>
      <t xml:space="preserve">Funded through Special allowance (If
</t>
    </r>
    <r>
      <rPr>
        <b/>
        <sz val="12"/>
        <rFont val="Cambria"/>
        <family val="1"/>
      </rPr>
      <t>Applicable</t>
    </r>
  </si>
  <si>
    <r>
      <rPr>
        <b/>
        <sz val="12"/>
        <rFont val="Cambria"/>
        <family val="1"/>
      </rPr>
      <t>Claimed as a part of stores and spares</t>
    </r>
  </si>
  <si>
    <r>
      <rPr>
        <b/>
        <sz val="12"/>
        <rFont val="Cambria"/>
        <family val="1"/>
      </rPr>
      <t>Name of spare</t>
    </r>
  </si>
  <si>
    <r>
      <rPr>
        <b/>
        <sz val="12"/>
        <rFont val="Cambria"/>
        <family val="1"/>
      </rPr>
      <t>Amount in Rs. Lakh</t>
    </r>
  </si>
  <si>
    <r>
      <rPr>
        <b/>
        <u val="single"/>
        <sz val="12"/>
        <rFont val="Cambria"/>
        <family val="1"/>
      </rPr>
      <t>Non-Tariff Income</t>
    </r>
  </si>
  <si>
    <r>
      <rPr>
        <b/>
        <sz val="12"/>
        <rFont val="Cambria"/>
        <family val="1"/>
      </rPr>
      <t xml:space="preserve">PART 1
</t>
    </r>
    <r>
      <rPr>
        <b/>
        <sz val="12"/>
        <rFont val="Cambria"/>
        <family val="1"/>
      </rPr>
      <t>FORM- 18</t>
    </r>
  </si>
  <si>
    <r>
      <rPr>
        <b/>
        <sz val="12"/>
        <rFont val="Cambria"/>
        <family val="1"/>
      </rPr>
      <t>Parameters</t>
    </r>
  </si>
  <si>
    <r>
      <rPr>
        <sz val="11.5"/>
        <rFont val="Cambria"/>
        <family val="1"/>
      </rPr>
      <t>Income from rent of land or buildings</t>
    </r>
  </si>
  <si>
    <r>
      <rPr>
        <sz val="12"/>
        <rFont val="Cambria"/>
        <family val="1"/>
      </rPr>
      <t>Income from sale of scrap</t>
    </r>
  </si>
  <si>
    <r>
      <rPr>
        <sz val="11.5"/>
        <rFont val="Cambria"/>
        <family val="1"/>
      </rPr>
      <t>Income from advertisements</t>
    </r>
  </si>
  <si>
    <r>
      <rPr>
        <b/>
        <sz val="11"/>
        <rFont val="Cambria"/>
        <family val="1"/>
      </rPr>
      <t>Note</t>
    </r>
    <r>
      <rPr>
        <sz val="11"/>
        <rFont val="Cambria"/>
        <family val="1"/>
      </rPr>
      <t>: To be submitted at the time of truing up</t>
    </r>
  </si>
  <si>
    <r>
      <rPr>
        <b/>
        <u val="single"/>
        <sz val="12"/>
        <rFont val="Cambria"/>
        <family val="1"/>
      </rPr>
      <t>Details of Water Charges</t>
    </r>
  </si>
  <si>
    <r>
      <rPr>
        <b/>
        <sz val="12"/>
        <rFont val="Cambria"/>
        <family val="1"/>
      </rPr>
      <t xml:space="preserve">PART 1
</t>
    </r>
    <r>
      <rPr>
        <b/>
        <sz val="12"/>
        <rFont val="Cambria"/>
        <family val="1"/>
      </rPr>
      <t>FORM- 19</t>
    </r>
  </si>
  <si>
    <r>
      <rPr>
        <b/>
        <sz val="12"/>
        <rFont val="Cambria"/>
        <family val="1"/>
      </rPr>
      <t>Details of Water charges (excluding water cess)</t>
    </r>
  </si>
  <si>
    <r>
      <rPr>
        <b/>
        <sz val="12"/>
        <rFont val="Cambria"/>
        <family val="1"/>
      </rPr>
      <t>Quantity allocated</t>
    </r>
  </si>
  <si>
    <r>
      <rPr>
        <b/>
        <sz val="12"/>
        <rFont val="Cambria"/>
        <family val="1"/>
      </rPr>
      <t>Normative consumption at 85% PLF</t>
    </r>
  </si>
  <si>
    <r>
      <rPr>
        <b/>
        <sz val="12"/>
        <rFont val="Cambria"/>
        <family val="1"/>
      </rPr>
      <t xml:space="preserve">Rate specified (as per govt. notification or
</t>
    </r>
    <r>
      <rPr>
        <b/>
        <sz val="12"/>
        <rFont val="Cambria"/>
        <family val="1"/>
      </rPr>
      <t>agreement)</t>
    </r>
  </si>
  <si>
    <r>
      <rPr>
        <b/>
        <sz val="12"/>
        <rFont val="Cambria"/>
        <family val="1"/>
      </rPr>
      <t>Spillage of water (in percentage)</t>
    </r>
  </si>
  <si>
    <r>
      <rPr>
        <b/>
        <sz val="12"/>
        <rFont val="Cambria"/>
        <family val="1"/>
      </rPr>
      <t>Amount Claimed</t>
    </r>
  </si>
  <si>
    <r>
      <rPr>
        <b/>
        <sz val="12"/>
        <rFont val="Cambria"/>
        <family val="1"/>
      </rPr>
      <t xml:space="preserve">Name of source and
</t>
    </r>
    <r>
      <rPr>
        <b/>
        <sz val="12"/>
        <rFont val="Cambria"/>
        <family val="1"/>
      </rPr>
      <t>quantity</t>
    </r>
  </si>
  <si>
    <r>
      <rPr>
        <b/>
        <sz val="12"/>
        <rFont val="Cambria"/>
        <family val="1"/>
      </rPr>
      <t>Amount</t>
    </r>
  </si>
  <si>
    <r>
      <rPr>
        <b/>
        <sz val="12"/>
        <rFont val="Cambria"/>
        <family val="1"/>
      </rPr>
      <t>Unit….</t>
    </r>
  </si>
  <si>
    <r>
      <rPr>
        <b/>
        <u val="single"/>
        <sz val="12"/>
        <rFont val="Cambria"/>
        <family val="1"/>
      </rPr>
      <t>Details of Statutory Charges</t>
    </r>
  </si>
  <si>
    <r>
      <rPr>
        <b/>
        <sz val="12"/>
        <rFont val="Cambria"/>
        <family val="1"/>
      </rPr>
      <t xml:space="preserve">PART 1
</t>
    </r>
    <r>
      <rPr>
        <b/>
        <sz val="12"/>
        <rFont val="Cambria"/>
        <family val="1"/>
      </rPr>
      <t>FORM- 20</t>
    </r>
  </si>
  <si>
    <r>
      <rPr>
        <b/>
        <sz val="12"/>
        <rFont val="Cambria"/>
        <family val="1"/>
      </rPr>
      <t>Unit Rate</t>
    </r>
  </si>
  <si>
    <r>
      <rPr>
        <b/>
        <sz val="12"/>
        <rFont val="Cambria"/>
        <family val="1"/>
      </rPr>
      <t>No of Units</t>
    </r>
  </si>
  <si>
    <r>
      <rPr>
        <sz val="12"/>
        <rFont val="Cambria"/>
        <family val="1"/>
      </rPr>
      <t>Electricity Duty</t>
    </r>
  </si>
  <si>
    <r>
      <rPr>
        <sz val="12"/>
        <rFont val="Cambria"/>
        <family val="1"/>
      </rPr>
      <t>Water Cess</t>
    </r>
  </si>
  <si>
    <r>
      <rPr>
        <sz val="12"/>
        <rFont val="Cambria"/>
        <family val="1"/>
      </rPr>
      <t>…</t>
    </r>
  </si>
  <si>
    <r>
      <rPr>
        <b/>
        <sz val="12"/>
        <rFont val="Cambria"/>
        <family val="1"/>
      </rPr>
      <t xml:space="preserve">Abstract of Capital Cost Estimates and Schedule of Commissioning for the New Projects 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xml:space="preserve">                                                                             
</t>
    </r>
    <r>
      <rPr>
        <b/>
        <u val="single"/>
        <sz val="12"/>
        <rFont val="Cambria"/>
        <family val="1"/>
      </rPr>
      <t xml:space="preserve">New Projects
</t>
    </r>
    <r>
      <rPr>
        <b/>
        <u val="single"/>
        <sz val="12"/>
        <rFont val="Cambria"/>
        <family val="1"/>
      </rPr>
      <t>Capital Cost Estimates</t>
    </r>
  </si>
  <si>
    <r>
      <rPr>
        <b/>
        <sz val="12"/>
        <rFont val="Cambria"/>
        <family val="1"/>
      </rPr>
      <t xml:space="preserve">PART 1
</t>
    </r>
    <r>
      <rPr>
        <b/>
        <sz val="12"/>
        <rFont val="Cambria"/>
        <family val="1"/>
      </rPr>
      <t>FORM- A</t>
    </r>
  </si>
  <si>
    <r>
      <rPr>
        <sz val="12"/>
        <rFont val="Cambria"/>
        <family val="1"/>
      </rPr>
      <t>Board of Director/ Agency approving the Capital cost estimates:</t>
    </r>
  </si>
  <si>
    <r>
      <rPr>
        <sz val="12"/>
        <rFont val="Cambria"/>
        <family val="1"/>
      </rPr>
      <t>Date of approval of the Capital cost estimates:</t>
    </r>
  </si>
  <si>
    <r>
      <rPr>
        <b/>
        <sz val="12"/>
        <rFont val="Cambria"/>
        <family val="1"/>
      </rPr>
      <t>Present Day Cost</t>
    </r>
  </si>
  <si>
    <r>
      <rPr>
        <b/>
        <sz val="12"/>
        <rFont val="Cambria"/>
        <family val="1"/>
      </rPr>
      <t>Completed Cost</t>
    </r>
  </si>
  <si>
    <r>
      <rPr>
        <sz val="12"/>
        <rFont val="Cambria"/>
        <family val="1"/>
      </rPr>
      <t>Price level of approved estimates</t>
    </r>
  </si>
  <si>
    <r>
      <rPr>
        <sz val="12"/>
        <rFont val="Cambria"/>
        <family val="1"/>
      </rPr>
      <t xml:space="preserve">As on End of </t>
    </r>
    <r>
      <rPr>
        <u val="single"/>
        <sz val="12"/>
        <rFont val="Times New Roman"/>
        <family val="1"/>
      </rPr>
      <t>            </t>
    </r>
    <r>
      <rPr>
        <sz val="12"/>
        <rFont val="Cambria"/>
        <family val="1"/>
      </rPr>
      <t xml:space="preserve">Qtr. Of the
</t>
    </r>
    <r>
      <rPr>
        <sz val="12"/>
        <rFont val="Cambria"/>
        <family val="1"/>
      </rPr>
      <t xml:space="preserve">year </t>
    </r>
    <r>
      <rPr>
        <u val="single"/>
        <sz val="12"/>
        <rFont val="Times New Roman"/>
        <family val="1"/>
      </rPr>
      <t>                   </t>
    </r>
  </si>
  <si>
    <r>
      <rPr>
        <sz val="12"/>
        <rFont val="Cambria"/>
        <family val="1"/>
      </rPr>
      <t xml:space="preserve">As on Scheduled COD of
</t>
    </r>
    <r>
      <rPr>
        <sz val="12"/>
        <rFont val="Cambria"/>
        <family val="1"/>
      </rPr>
      <t>the Station</t>
    </r>
  </si>
  <si>
    <r>
      <rPr>
        <sz val="12"/>
        <rFont val="Cambria"/>
        <family val="1"/>
      </rPr>
      <t>Foreign Exchange rate considered for the Capital cost estimates</t>
    </r>
  </si>
  <si>
    <r>
      <rPr>
        <b/>
        <sz val="12"/>
        <rFont val="Cambria"/>
        <family val="1"/>
      </rPr>
      <t>Capital Cost excluding IDC, IEDC &amp; FC (Rs. Lakh)</t>
    </r>
  </si>
  <si>
    <r>
      <rPr>
        <sz val="12"/>
        <rFont val="Cambria"/>
        <family val="1"/>
      </rPr>
      <t>Foreign Component, if any (In Million US $ or the relevant Currency)</t>
    </r>
  </si>
  <si>
    <r>
      <rPr>
        <sz val="12"/>
        <rFont val="Cambria"/>
        <family val="1"/>
      </rPr>
      <t>Domestic Component (Rs. Lakh)</t>
    </r>
  </si>
  <si>
    <r>
      <rPr>
        <b/>
        <sz val="12"/>
        <rFont val="Cambria"/>
        <family val="1"/>
      </rPr>
      <t>Capital cost excluding IDC, IEDC, FC, FERV &amp; Hedging Cost (Rs. Lakh)</t>
    </r>
  </si>
  <si>
    <r>
      <rPr>
        <b/>
        <sz val="12"/>
        <rFont val="Cambria"/>
        <family val="1"/>
      </rPr>
      <t>IDC, IEDC,FC, FERV &amp; Hedging Cost</t>
    </r>
  </si>
  <si>
    <r>
      <rPr>
        <b/>
        <sz val="12"/>
        <rFont val="Cambria"/>
        <family val="1"/>
      </rPr>
      <t xml:space="preserve">Total IDC, IEDC, FC, FERV &amp; Hedging Cost </t>
    </r>
    <r>
      <rPr>
        <sz val="12"/>
        <rFont val="Cambria"/>
        <family val="1"/>
      </rPr>
      <t>(Rs. Lakh)</t>
    </r>
  </si>
  <si>
    <r>
      <rPr>
        <sz val="12"/>
        <rFont val="Cambria"/>
        <family val="1"/>
      </rPr>
      <t>Rate of taxes &amp; duties considered</t>
    </r>
  </si>
  <si>
    <r>
      <rPr>
        <b/>
        <sz val="12"/>
        <rFont val="Cambria"/>
        <family val="1"/>
      </rPr>
      <t>Capital cost Including IDC, IEDC, FC, FERV &amp; Hedging Cost</t>
    </r>
  </si>
  <si>
    <r>
      <rPr>
        <b/>
        <sz val="12"/>
        <rFont val="Cambria"/>
        <family val="1"/>
      </rPr>
      <t>Capital cost Including IDC, IEDC&amp; FC (Rs. Lakh)</t>
    </r>
  </si>
  <si>
    <r>
      <rPr>
        <b/>
        <sz val="12"/>
        <rFont val="Cambria"/>
        <family val="1"/>
      </rPr>
      <t>Schedule of Commissioning</t>
    </r>
  </si>
  <si>
    <r>
      <rPr>
        <sz val="12"/>
        <rFont val="Cambria"/>
        <family val="1"/>
      </rPr>
      <t>Scheduled COD of Unit-I/Block-I as per Investment  Approval</t>
    </r>
  </si>
  <si>
    <r>
      <rPr>
        <sz val="12"/>
        <rFont val="Cambria"/>
        <family val="1"/>
      </rPr>
      <t>Scheduled COD of Unit-II/Block-II as per Investment  Approval</t>
    </r>
  </si>
  <si>
    <r>
      <rPr>
        <sz val="12"/>
        <rFont val="Cambria"/>
        <family val="1"/>
      </rPr>
      <t>Scheduled COD of last Unit/Block</t>
    </r>
  </si>
  <si>
    <r>
      <rPr>
        <b/>
        <sz val="12"/>
        <rFont val="Cambria"/>
        <family val="1"/>
      </rPr>
      <t xml:space="preserve">Note:
</t>
    </r>
    <r>
      <rPr>
        <sz val="12"/>
        <rFont val="Cambria"/>
        <family val="1"/>
      </rPr>
      <t xml:space="preserve">1. Copy of Investment approval letter should be enclosed.
</t>
    </r>
    <r>
      <rPr>
        <sz val="12"/>
        <rFont val="Cambria"/>
        <family val="1"/>
      </rPr>
      <t xml:space="preserve">2. Details of Capital Cost are to be furnished as per FORM B or C as applicable.
</t>
    </r>
    <r>
      <rPr>
        <sz val="12"/>
        <rFont val="Cambria"/>
        <family val="1"/>
      </rPr>
      <t>3. Details of IDC &amp; Financing Charges are to be furnished as per FORM-14.</t>
    </r>
  </si>
  <si>
    <r>
      <rPr>
        <b/>
        <sz val="12"/>
        <rFont val="Cambria"/>
        <family val="1"/>
      </rPr>
      <t xml:space="preserve">Break-up of Capital Cost for New Coal/Lignite based projects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</si>
  <si>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B</t>
    </r>
  </si>
  <si>
    <r>
      <rPr>
        <b/>
        <sz val="12"/>
        <rFont val="Cambria"/>
        <family val="1"/>
      </rPr>
      <t>Break Down</t>
    </r>
  </si>
  <si>
    <r>
      <rPr>
        <b/>
        <sz val="12"/>
        <rFont val="Cambria"/>
        <family val="1"/>
      </rPr>
      <t xml:space="preserve">As per Original Estimates as per Investment
</t>
    </r>
    <r>
      <rPr>
        <b/>
        <sz val="12"/>
        <rFont val="Cambria"/>
        <family val="1"/>
      </rPr>
      <t>Approval</t>
    </r>
  </si>
  <si>
    <r>
      <rPr>
        <b/>
        <sz val="12"/>
        <rFont val="Cambria"/>
        <family val="1"/>
      </rPr>
      <t xml:space="preserve">Actual Capital Expenditure as on COD/
</t>
    </r>
    <r>
      <rPr>
        <b/>
        <sz val="12"/>
        <rFont val="Cambria"/>
        <family val="1"/>
      </rPr>
      <t>anticipated COD</t>
    </r>
  </si>
  <si>
    <r>
      <rPr>
        <b/>
        <sz val="12"/>
        <rFont val="Cambria"/>
        <family val="1"/>
      </rPr>
      <t>Liabilities/ Provisions</t>
    </r>
  </si>
  <si>
    <r>
      <rPr>
        <b/>
        <sz val="12"/>
        <rFont val="Cambria"/>
        <family val="1"/>
      </rPr>
      <t>Variation (3 – 4 - 5)</t>
    </r>
  </si>
  <si>
    <r>
      <rPr>
        <b/>
        <sz val="12"/>
        <rFont val="Cambria"/>
        <family val="1"/>
      </rPr>
      <t>Specific Reasons for Variation</t>
    </r>
  </si>
  <si>
    <r>
      <rPr>
        <b/>
        <sz val="12"/>
        <rFont val="Cambria"/>
        <family val="1"/>
      </rPr>
      <t>Estimated Capital expenditure upto Cut-off dat</t>
    </r>
  </si>
  <si>
    <r>
      <rPr>
        <b/>
        <sz val="12"/>
        <rFont val="Cambria"/>
        <family val="1"/>
      </rPr>
      <t>Actual Amount</t>
    </r>
  </si>
  <si>
    <r>
      <rPr>
        <b/>
        <sz val="12"/>
        <rFont val="Cambria"/>
        <family val="1"/>
      </rPr>
      <t>Cost of Land &amp; Site Development</t>
    </r>
  </si>
  <si>
    <r>
      <rPr>
        <sz val="12"/>
        <rFont val="Cambria"/>
        <family val="1"/>
      </rPr>
      <t xml:space="preserve">Rehabilitation &amp; Resettlement
</t>
    </r>
    <r>
      <rPr>
        <sz val="12"/>
        <rFont val="Cambria"/>
        <family val="1"/>
      </rPr>
      <t>(R&amp;R)</t>
    </r>
  </si>
  <si>
    <r>
      <rPr>
        <sz val="12"/>
        <rFont val="Cambria"/>
        <family val="1"/>
      </rPr>
      <t xml:space="preserve">Preliminary Investigation &amp; Site
</t>
    </r>
    <r>
      <rPr>
        <sz val="12"/>
        <rFont val="Cambria"/>
        <family val="1"/>
      </rPr>
      <t>Development</t>
    </r>
  </si>
  <si>
    <r>
      <rPr>
        <b/>
        <sz val="12"/>
        <rFont val="Cambria"/>
        <family val="1"/>
      </rPr>
      <t>Total Land &amp; Site Development</t>
    </r>
  </si>
  <si>
    <r>
      <rPr>
        <b/>
        <sz val="12"/>
        <rFont val="Cambria"/>
        <family val="1"/>
      </rPr>
      <t>Plant &amp; Equipment</t>
    </r>
  </si>
  <si>
    <r>
      <rPr>
        <b/>
        <sz val="12"/>
        <rFont val="Cambria"/>
        <family val="1"/>
      </rPr>
      <t>Steam Generator Island</t>
    </r>
  </si>
  <si>
    <r>
      <rPr>
        <b/>
        <sz val="12"/>
        <rFont val="Cambria"/>
        <family val="1"/>
      </rPr>
      <t>Turbine Generator Island</t>
    </r>
  </si>
  <si>
    <r>
      <rPr>
        <b/>
        <sz val="12"/>
        <rFont val="Cambria"/>
        <family val="1"/>
      </rPr>
      <t>BOP Mechanical</t>
    </r>
  </si>
  <si>
    <r>
      <rPr>
        <sz val="12"/>
        <rFont val="Cambria"/>
        <family val="1"/>
      </rPr>
      <t>2.3.1</t>
    </r>
  </si>
  <si>
    <r>
      <rPr>
        <sz val="12"/>
        <rFont val="Cambria"/>
        <family val="1"/>
      </rPr>
      <t>External water supply system</t>
    </r>
  </si>
  <si>
    <r>
      <rPr>
        <sz val="12"/>
        <rFont val="Cambria"/>
        <family val="1"/>
      </rPr>
      <t>2.3.2</t>
    </r>
  </si>
  <si>
    <r>
      <rPr>
        <sz val="12"/>
        <rFont val="Cambria"/>
        <family val="1"/>
      </rPr>
      <t>CW system</t>
    </r>
  </si>
  <si>
    <r>
      <rPr>
        <sz val="12"/>
        <rFont val="Cambria"/>
        <family val="1"/>
      </rPr>
      <t>2.3.3</t>
    </r>
  </si>
  <si>
    <r>
      <rPr>
        <sz val="12"/>
        <rFont val="Cambria"/>
        <family val="1"/>
      </rPr>
      <t>DM water Plant</t>
    </r>
  </si>
  <si>
    <r>
      <rPr>
        <sz val="12"/>
        <rFont val="Cambria"/>
        <family val="1"/>
      </rPr>
      <t>2.3.4</t>
    </r>
  </si>
  <si>
    <r>
      <rPr>
        <sz val="12"/>
        <rFont val="Cambria"/>
        <family val="1"/>
      </rPr>
      <t>Clarification plant</t>
    </r>
  </si>
  <si>
    <r>
      <rPr>
        <sz val="12"/>
        <rFont val="Cambria"/>
        <family val="1"/>
      </rPr>
      <t>2.3.5</t>
    </r>
  </si>
  <si>
    <r>
      <rPr>
        <sz val="12"/>
        <rFont val="Cambria"/>
        <family val="1"/>
      </rPr>
      <t>Chlorination Plant</t>
    </r>
  </si>
  <si>
    <r>
      <rPr>
        <sz val="12"/>
        <rFont val="Cambria"/>
        <family val="1"/>
      </rPr>
      <t>2.3.6</t>
    </r>
  </si>
  <si>
    <r>
      <rPr>
        <sz val="12"/>
        <rFont val="Cambria"/>
        <family val="1"/>
      </rPr>
      <t>Fuel  Handling &amp; Storage system</t>
    </r>
  </si>
  <si>
    <r>
      <rPr>
        <sz val="12"/>
        <rFont val="Cambria"/>
        <family val="1"/>
      </rPr>
      <t>2.3.7</t>
    </r>
  </si>
  <si>
    <r>
      <rPr>
        <sz val="12"/>
        <rFont val="Cambria"/>
        <family val="1"/>
      </rPr>
      <t>Ash Handling System</t>
    </r>
  </si>
  <si>
    <r>
      <rPr>
        <sz val="12"/>
        <rFont val="Cambria"/>
        <family val="1"/>
      </rPr>
      <t>2.3.8</t>
    </r>
  </si>
  <si>
    <r>
      <rPr>
        <sz val="12"/>
        <rFont val="Cambria"/>
        <family val="1"/>
      </rPr>
      <t>Coal Handling Plant</t>
    </r>
  </si>
  <si>
    <r>
      <rPr>
        <sz val="12"/>
        <rFont val="Cambria"/>
        <family val="1"/>
      </rPr>
      <t>2.3.9</t>
    </r>
  </si>
  <si>
    <r>
      <rPr>
        <sz val="12"/>
        <rFont val="Cambria"/>
        <family val="1"/>
      </rPr>
      <t>Rolling Stock and Locomotives</t>
    </r>
  </si>
  <si>
    <r>
      <rPr>
        <sz val="12"/>
        <rFont val="Cambria"/>
        <family val="1"/>
      </rPr>
      <t>MGR</t>
    </r>
  </si>
  <si>
    <r>
      <rPr>
        <sz val="12"/>
        <rFont val="Cambria"/>
        <family val="1"/>
      </rPr>
      <t>Air Compressor System</t>
    </r>
  </si>
  <si>
    <r>
      <rPr>
        <sz val="12"/>
        <rFont val="Cambria"/>
        <family val="1"/>
      </rPr>
      <t>Air Condition &amp; Ventilation System</t>
    </r>
  </si>
  <si>
    <r>
      <rPr>
        <sz val="12"/>
        <rFont val="Cambria"/>
        <family val="1"/>
      </rPr>
      <t>Fire fighting System</t>
    </r>
  </si>
  <si>
    <r>
      <rPr>
        <sz val="12"/>
        <rFont val="Cambria"/>
        <family val="1"/>
      </rPr>
      <t>HP/LP Piping</t>
    </r>
  </si>
  <si>
    <r>
      <rPr>
        <sz val="12"/>
        <rFont val="Cambria"/>
        <family val="1"/>
      </rPr>
      <t>FGD system, if any</t>
    </r>
  </si>
  <si>
    <r>
      <rPr>
        <sz val="12"/>
        <rFont val="Cambria"/>
        <family val="1"/>
      </rPr>
      <t xml:space="preserve">De-salination plant for sea-water
</t>
    </r>
    <r>
      <rPr>
        <sz val="12"/>
        <rFont val="Cambria"/>
        <family val="1"/>
      </rPr>
      <t>intake</t>
    </r>
  </si>
  <si>
    <r>
      <rPr>
        <sz val="12"/>
        <rFont val="Cambria"/>
        <family val="1"/>
      </rPr>
      <t xml:space="preserve">External coal handling in Jetty, if
</t>
    </r>
    <r>
      <rPr>
        <sz val="12"/>
        <rFont val="Cambria"/>
        <family val="1"/>
      </rPr>
      <t>any</t>
    </r>
  </si>
  <si>
    <r>
      <rPr>
        <b/>
        <sz val="12"/>
        <rFont val="Cambria"/>
        <family val="1"/>
      </rPr>
      <t>Total BOP Mechanical</t>
    </r>
  </si>
  <si>
    <r>
      <rPr>
        <b/>
        <sz val="12"/>
        <rFont val="Cambria"/>
        <family val="1"/>
      </rPr>
      <t>BOP Electrical</t>
    </r>
  </si>
  <si>
    <r>
      <rPr>
        <sz val="12"/>
        <rFont val="Cambria"/>
        <family val="1"/>
      </rPr>
      <t>2.4.1</t>
    </r>
  </si>
  <si>
    <r>
      <rPr>
        <sz val="12"/>
        <rFont val="Cambria"/>
        <family val="1"/>
      </rPr>
      <t>Switch Yard Package</t>
    </r>
  </si>
  <si>
    <r>
      <rPr>
        <sz val="12"/>
        <rFont val="Cambria"/>
        <family val="1"/>
      </rPr>
      <t>2.4.2</t>
    </r>
  </si>
  <si>
    <r>
      <rPr>
        <sz val="12"/>
        <rFont val="Cambria"/>
        <family val="1"/>
      </rPr>
      <t>Transformers  Package</t>
    </r>
  </si>
  <si>
    <r>
      <rPr>
        <sz val="12"/>
        <rFont val="Cambria"/>
        <family val="1"/>
      </rPr>
      <t>2.4.3</t>
    </r>
  </si>
  <si>
    <r>
      <rPr>
        <sz val="12"/>
        <rFont val="Cambria"/>
        <family val="1"/>
      </rPr>
      <t>Switch gear  Package</t>
    </r>
  </si>
  <si>
    <r>
      <rPr>
        <sz val="12"/>
        <rFont val="Cambria"/>
        <family val="1"/>
      </rPr>
      <t>2.4.4</t>
    </r>
  </si>
  <si>
    <r>
      <rPr>
        <sz val="12"/>
        <rFont val="Cambria"/>
        <family val="1"/>
      </rPr>
      <t xml:space="preserve">Cables, Cable facilities &amp;
</t>
    </r>
    <r>
      <rPr>
        <sz val="12"/>
        <rFont val="Cambria"/>
        <family val="1"/>
      </rPr>
      <t>grounding</t>
    </r>
  </si>
  <si>
    <r>
      <rPr>
        <sz val="12"/>
        <rFont val="Cambria"/>
        <family val="1"/>
      </rPr>
      <t>2.4.5</t>
    </r>
  </si>
  <si>
    <r>
      <rPr>
        <sz val="12"/>
        <rFont val="Cambria"/>
        <family val="1"/>
      </rPr>
      <t>Lighting</t>
    </r>
  </si>
  <si>
    <r>
      <rPr>
        <sz val="12"/>
        <rFont val="Cambria"/>
        <family val="1"/>
      </rPr>
      <t>2.4.6</t>
    </r>
  </si>
  <si>
    <r>
      <rPr>
        <sz val="12"/>
        <rFont val="Cambria"/>
        <family val="1"/>
      </rPr>
      <t>Emergency  D.G. set</t>
    </r>
  </si>
  <si>
    <r>
      <rPr>
        <b/>
        <sz val="12"/>
        <rFont val="Cambria"/>
        <family val="1"/>
      </rPr>
      <t>Total BOP Electrical</t>
    </r>
  </si>
  <si>
    <r>
      <rPr>
        <b/>
        <sz val="12"/>
        <rFont val="Cambria"/>
        <family val="1"/>
      </rPr>
      <t xml:space="preserve">Control &amp; Instrumentation (C &amp; I)
</t>
    </r>
    <r>
      <rPr>
        <b/>
        <sz val="12"/>
        <rFont val="Cambria"/>
        <family val="1"/>
      </rPr>
      <t>Package</t>
    </r>
  </si>
  <si>
    <r>
      <rPr>
        <b/>
        <sz val="12"/>
        <rFont val="Cambria"/>
        <family val="1"/>
      </rPr>
      <t>Total Plant &amp; Equipment</t>
    </r>
  </si>
  <si>
    <r>
      <rPr>
        <b/>
        <sz val="12"/>
        <rFont val="Cambria"/>
        <family val="1"/>
      </rPr>
      <t>excluding taxes &amp; Duties</t>
    </r>
  </si>
  <si>
    <r>
      <rPr>
        <b/>
        <sz val="12"/>
        <rFont val="Cambria"/>
        <family val="1"/>
      </rPr>
      <t>Taxes &amp; Duties</t>
    </r>
  </si>
  <si>
    <r>
      <rPr>
        <b/>
        <sz val="12"/>
        <rFont val="Cambria"/>
        <family val="1"/>
      </rPr>
      <t>Initial Spares</t>
    </r>
  </si>
  <si>
    <r>
      <rPr>
        <b/>
        <sz val="12"/>
        <rFont val="Cambria"/>
        <family val="1"/>
      </rPr>
      <t>Civil Works</t>
    </r>
  </si>
  <si>
    <r>
      <rPr>
        <sz val="12"/>
        <rFont val="Cambria"/>
        <family val="1"/>
      </rPr>
      <t>Main plant/Adm. Building</t>
    </r>
  </si>
  <si>
    <r>
      <rPr>
        <sz val="12"/>
        <rFont val="Cambria"/>
        <family val="1"/>
      </rPr>
      <t>Cooling Towers</t>
    </r>
  </si>
  <si>
    <r>
      <rPr>
        <sz val="12"/>
        <rFont val="Cambria"/>
        <family val="1"/>
      </rPr>
      <t>Chlorination plant</t>
    </r>
  </si>
  <si>
    <r>
      <rPr>
        <sz val="12"/>
        <rFont val="Cambria"/>
        <family val="1"/>
      </rPr>
      <t>Fuel handling &amp; Storage system</t>
    </r>
  </si>
  <si>
    <r>
      <rPr>
        <sz val="12"/>
        <rFont val="Cambria"/>
        <family val="1"/>
      </rPr>
      <t>MGR &amp;Marshalling Yard</t>
    </r>
  </si>
  <si>
    <r>
      <rPr>
        <sz val="12"/>
        <rFont val="Cambria"/>
        <family val="1"/>
      </rPr>
      <t>Ash disposal area development</t>
    </r>
  </si>
  <si>
    <r>
      <rPr>
        <sz val="12"/>
        <rFont val="Cambria"/>
        <family val="1"/>
      </rPr>
      <t>Township &amp; Colony</t>
    </r>
  </si>
  <si>
    <r>
      <rPr>
        <sz val="12"/>
        <rFont val="Cambria"/>
        <family val="1"/>
      </rPr>
      <t xml:space="preserve">Temp. construction &amp; enabling
</t>
    </r>
    <r>
      <rPr>
        <sz val="12"/>
        <rFont val="Cambria"/>
        <family val="1"/>
      </rPr>
      <t>works</t>
    </r>
  </si>
  <si>
    <r>
      <rPr>
        <sz val="12"/>
        <rFont val="Cambria"/>
        <family val="1"/>
      </rPr>
      <t>Road &amp; Drainage</t>
    </r>
  </si>
  <si>
    <r>
      <rPr>
        <b/>
        <sz val="12"/>
        <rFont val="Cambria"/>
        <family val="1"/>
      </rPr>
      <t>Total Civil works</t>
    </r>
  </si>
  <si>
    <r>
      <rPr>
        <b/>
        <sz val="12"/>
        <rFont val="Cambria"/>
        <family val="1"/>
      </rPr>
      <t xml:space="preserve">Construction &amp; Pre-
</t>
    </r>
    <r>
      <rPr>
        <b/>
        <sz val="12"/>
        <rFont val="Cambria"/>
        <family val="1"/>
      </rPr>
      <t>Commissioning Expenses</t>
    </r>
  </si>
  <si>
    <r>
      <rPr>
        <sz val="12"/>
        <rFont val="Cambria"/>
        <family val="1"/>
      </rPr>
      <t xml:space="preserve">Erection Testing and
</t>
    </r>
    <r>
      <rPr>
        <sz val="12"/>
        <rFont val="Cambria"/>
        <family val="1"/>
      </rPr>
      <t>commissioning</t>
    </r>
  </si>
  <si>
    <r>
      <rPr>
        <sz val="12"/>
        <rFont val="Cambria"/>
        <family val="1"/>
      </rPr>
      <t>Site supervision</t>
    </r>
  </si>
  <si>
    <r>
      <rPr>
        <sz val="12"/>
        <rFont val="Cambria"/>
        <family val="1"/>
      </rPr>
      <t>Operator's Training</t>
    </r>
  </si>
  <si>
    <r>
      <rPr>
        <sz val="12"/>
        <rFont val="Cambria"/>
        <family val="1"/>
      </rPr>
      <t>Construction Insurance</t>
    </r>
  </si>
  <si>
    <r>
      <rPr>
        <sz val="12"/>
        <rFont val="Cambria"/>
        <family val="1"/>
      </rPr>
      <t>Tools &amp; Plant</t>
    </r>
  </si>
  <si>
    <r>
      <rPr>
        <sz val="12"/>
        <rFont val="Cambria"/>
        <family val="1"/>
      </rPr>
      <t>Startup fuel</t>
    </r>
  </si>
  <si>
    <r>
      <rPr>
        <b/>
        <sz val="12"/>
        <rFont val="Cambria"/>
        <family val="1"/>
      </rPr>
      <t xml:space="preserve">Total  Construction &amp; Pre-
</t>
    </r>
    <r>
      <rPr>
        <b/>
        <sz val="12"/>
        <rFont val="Cambria"/>
        <family val="1"/>
      </rPr>
      <t>Commissioning Expenses</t>
    </r>
  </si>
  <si>
    <r>
      <rPr>
        <b/>
        <sz val="12"/>
        <rFont val="Cambria"/>
        <family val="1"/>
      </rPr>
      <t>Overheads</t>
    </r>
  </si>
  <si>
    <r>
      <rPr>
        <sz val="12"/>
        <rFont val="Cambria"/>
        <family val="1"/>
      </rPr>
      <t>Establishment</t>
    </r>
  </si>
  <si>
    <r>
      <rPr>
        <sz val="12"/>
        <rFont val="Cambria"/>
        <family val="1"/>
      </rPr>
      <t>Design &amp; Engineering</t>
    </r>
  </si>
  <si>
    <r>
      <rPr>
        <sz val="12"/>
        <rFont val="Cambria"/>
        <family val="1"/>
      </rPr>
      <t>Audit &amp; Accounts</t>
    </r>
  </si>
  <si>
    <r>
      <rPr>
        <sz val="12"/>
        <rFont val="Cambria"/>
        <family val="1"/>
      </rPr>
      <t>Contingency</t>
    </r>
  </si>
  <si>
    <r>
      <rPr>
        <b/>
        <sz val="12"/>
        <rFont val="Cambria"/>
        <family val="1"/>
      </rPr>
      <t>Total Overheads</t>
    </r>
  </si>
  <si>
    <r>
      <rPr>
        <b/>
        <sz val="12"/>
        <rFont val="Cambria"/>
        <family val="1"/>
      </rPr>
      <t xml:space="preserve">Total Capital cost excluding IDC
</t>
    </r>
    <r>
      <rPr>
        <b/>
        <sz val="12"/>
        <rFont val="Cambria"/>
        <family val="1"/>
      </rPr>
      <t>&amp; FC</t>
    </r>
  </si>
  <si>
    <r>
      <rPr>
        <b/>
        <sz val="12"/>
        <rFont val="Cambria"/>
        <family val="1"/>
      </rPr>
      <t>IDC, FC, FERV &amp;Hedging Cost</t>
    </r>
  </si>
  <si>
    <r>
      <rPr>
        <sz val="12"/>
        <rFont val="Cambria"/>
        <family val="1"/>
      </rPr>
      <t>Interest During Construction (IDC)</t>
    </r>
  </si>
  <si>
    <r>
      <rPr>
        <sz val="12"/>
        <rFont val="Cambria"/>
        <family val="1"/>
      </rPr>
      <t>Financing Charges (FC)</t>
    </r>
  </si>
  <si>
    <r>
      <rPr>
        <sz val="12"/>
        <rFont val="Cambria"/>
        <family val="1"/>
      </rPr>
      <t xml:space="preserve">Foreign Exchange Rate Variation
</t>
    </r>
    <r>
      <rPr>
        <sz val="12"/>
        <rFont val="Cambria"/>
        <family val="1"/>
      </rPr>
      <t>(FERV)</t>
    </r>
  </si>
  <si>
    <r>
      <rPr>
        <sz val="12"/>
        <rFont val="Cambria"/>
        <family val="1"/>
      </rPr>
      <t>Hedging Coat</t>
    </r>
  </si>
  <si>
    <r>
      <rPr>
        <b/>
        <sz val="12"/>
        <rFont val="Cambria"/>
        <family val="1"/>
      </rPr>
      <t xml:space="preserve">Total of IDC, FC,FERV &amp; Hedging
</t>
    </r>
    <r>
      <rPr>
        <b/>
        <sz val="12"/>
        <rFont val="Cambria"/>
        <family val="1"/>
      </rPr>
      <t>Cost</t>
    </r>
  </si>
  <si>
    <r>
      <rPr>
        <b/>
        <sz val="12"/>
        <rFont val="Cambria"/>
        <family val="1"/>
      </rPr>
      <t xml:space="preserve">Capital cost including IDC,  FC,
</t>
    </r>
    <r>
      <rPr>
        <b/>
        <sz val="12"/>
        <rFont val="Cambria"/>
        <family val="1"/>
      </rPr>
      <t>FERV &amp; Hedging Cost</t>
    </r>
  </si>
  <si>
    <r>
      <rPr>
        <i/>
        <sz val="12"/>
        <rFont val="Palatino Linotype"/>
        <family val="1"/>
      </rPr>
      <t xml:space="preserve">*Provide details of Freehold land and Lease hold land separately
</t>
    </r>
    <r>
      <rPr>
        <b/>
        <sz val="12"/>
        <rFont val="Cambria"/>
        <family val="1"/>
      </rPr>
      <t xml:space="preserve">Note:
</t>
    </r>
    <r>
      <rPr>
        <sz val="12"/>
        <rFont val="Cambria"/>
        <family val="1"/>
      </rPr>
      <t xml:space="preserve">1.   In case of cost variation, a detailed note giving reasons of such variation should be submitted clearly indicating whether such cost over-run was beyond the control of the generating company.
</t>
    </r>
    <r>
      <rPr>
        <sz val="12"/>
        <rFont val="Cambria"/>
        <family val="1"/>
      </rPr>
      <t xml:space="preserve">2.   In case of both time &amp; cost overrun, a detailed note giving reasons of such time and cost over-run should be submitted clearly. bringing out the agency responsible and whether such time and cost overrun was beyond the control of the generating company.
</t>
    </r>
    <r>
      <rPr>
        <sz val="12"/>
        <rFont val="Cambria"/>
        <family val="1"/>
      </rPr>
      <t xml:space="preserve">3.   The implication on cost due to time over run, if any shall be submitted separately giving details of increase in prices in different packages from scheduled COD to Actual COD/anticipated COD, increase in IEDC from scheduled COD to actual COD/anticipated COD and increase of IDC from scheduled COD to actual anticipated COD.
</t>
    </r>
    <r>
      <rPr>
        <sz val="12"/>
        <rFont val="Cambria"/>
        <family val="1"/>
      </rPr>
      <t xml:space="preserve">4.   </t>
    </r>
    <r>
      <rPr>
        <b/>
        <sz val="12"/>
        <rFont val="Cambria"/>
        <family val="1"/>
      </rPr>
      <t xml:space="preserve">Impact on account of each reason for Time over run on Cost of project should be quantified and substantiated with necessary documents and supporting workings.
</t>
    </r>
    <r>
      <rPr>
        <sz val="12"/>
        <rFont val="Cambria"/>
        <family val="1"/>
      </rPr>
      <t>5.   A list of balance work assets/work wise including initial spare on original scope of works along with estimate shall be furnished positively.</t>
    </r>
  </si>
  <si>
    <r>
      <rPr>
        <b/>
        <sz val="12"/>
        <rFont val="Cambria"/>
        <family val="1"/>
      </rPr>
      <t xml:space="preserve">Break-up of Capital Cost for Gas/Liquid fuel based projects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</si>
  <si>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C</t>
    </r>
  </si>
  <si>
    <r>
      <rPr>
        <b/>
        <sz val="12"/>
        <rFont val="Cambria"/>
        <family val="1"/>
      </rPr>
      <t>As per Original Estimates as per Investment Approval</t>
    </r>
  </si>
  <si>
    <r>
      <rPr>
        <b/>
        <sz val="12"/>
        <rFont val="Cambria"/>
        <family val="1"/>
      </rPr>
      <t>Actual Capital Expenditure</t>
    </r>
  </si>
  <si>
    <r>
      <rPr>
        <b/>
        <sz val="12"/>
        <rFont val="Cambria"/>
        <family val="1"/>
      </rPr>
      <t>Liabilitie s/ Provision s</t>
    </r>
  </si>
  <si>
    <r>
      <rPr>
        <b/>
        <sz val="12"/>
        <rFont val="Cambria"/>
        <family val="1"/>
      </rPr>
      <t>Specific Reasons for Variation*</t>
    </r>
  </si>
  <si>
    <r>
      <rPr>
        <b/>
        <sz val="12"/>
        <rFont val="Cambria"/>
        <family val="1"/>
      </rPr>
      <t>Actual/Estimat ed Capital Expenditure upto Cut-off date</t>
    </r>
  </si>
  <si>
    <r>
      <rPr>
        <sz val="12"/>
        <rFont val="Cambria"/>
        <family val="1"/>
      </rPr>
      <t>Rehabilitation &amp; Resettlement (R&amp;R)</t>
    </r>
  </si>
  <si>
    <r>
      <rPr>
        <sz val="12"/>
        <rFont val="Cambria"/>
        <family val="1"/>
      </rPr>
      <t>Total Land &amp; Site Development</t>
    </r>
  </si>
  <si>
    <r>
      <rPr>
        <b/>
        <sz val="12"/>
        <rFont val="Cambria"/>
        <family val="1"/>
      </rPr>
      <t>WHRB Island</t>
    </r>
  </si>
  <si>
    <r>
      <rPr>
        <sz val="12"/>
        <rFont val="Cambria"/>
        <family val="1"/>
      </rPr>
      <t>2.4.7</t>
    </r>
  </si>
  <si>
    <r>
      <rPr>
        <sz val="12"/>
        <rFont val="Cambria"/>
        <family val="1"/>
      </rPr>
      <t>2.4.8</t>
    </r>
  </si>
  <si>
    <r>
      <rPr>
        <sz val="12"/>
        <rFont val="Cambria"/>
        <family val="1"/>
      </rPr>
      <t>2.4.9</t>
    </r>
  </si>
  <si>
    <r>
      <rPr>
        <sz val="12"/>
        <rFont val="Cambria"/>
        <family val="1"/>
      </rPr>
      <t>2.5.1</t>
    </r>
  </si>
  <si>
    <r>
      <rPr>
        <sz val="12"/>
        <rFont val="Cambria"/>
        <family val="1"/>
      </rPr>
      <t>2.5.2</t>
    </r>
  </si>
  <si>
    <r>
      <rPr>
        <sz val="12"/>
        <rFont val="Cambria"/>
        <family val="1"/>
      </rPr>
      <t>2.5.3</t>
    </r>
  </si>
  <si>
    <r>
      <rPr>
        <sz val="12"/>
        <rFont val="Cambria"/>
        <family val="1"/>
      </rPr>
      <t>2.5.4</t>
    </r>
  </si>
  <si>
    <r>
      <rPr>
        <sz val="12"/>
        <rFont val="Cambria"/>
        <family val="1"/>
      </rPr>
      <t>Cables, Cable facilities &amp; grounding</t>
    </r>
  </si>
  <si>
    <r>
      <rPr>
        <sz val="12"/>
        <rFont val="Cambria"/>
        <family val="1"/>
      </rPr>
      <t>2.5.5</t>
    </r>
  </si>
  <si>
    <r>
      <rPr>
        <sz val="12"/>
        <rFont val="Cambria"/>
        <family val="1"/>
      </rPr>
      <t>2.5.6</t>
    </r>
  </si>
  <si>
    <r>
      <rPr>
        <b/>
        <sz val="12"/>
        <rFont val="Cambria"/>
        <family val="1"/>
      </rPr>
      <t xml:space="preserve">Total Plant &amp; Equipment excluding taxes
</t>
    </r>
    <r>
      <rPr>
        <b/>
        <sz val="12"/>
        <rFont val="Cambria"/>
        <family val="1"/>
      </rPr>
      <t>&amp; Duties</t>
    </r>
  </si>
  <si>
    <r>
      <rPr>
        <sz val="12"/>
        <rFont val="Cambria"/>
        <family val="1"/>
      </rPr>
      <t>External Water Supply System</t>
    </r>
  </si>
  <si>
    <r>
      <rPr>
        <sz val="12"/>
        <rFont val="Cambria"/>
        <family val="1"/>
      </rPr>
      <t>Temp. construction &amp; enabling works</t>
    </r>
  </si>
  <si>
    <r>
      <rPr>
        <b/>
        <sz val="12"/>
        <rFont val="Cambria"/>
        <family val="1"/>
      </rPr>
      <t xml:space="preserve">Construction &amp; Pre- Commissioning
</t>
    </r>
    <r>
      <rPr>
        <b/>
        <sz val="12"/>
        <rFont val="Cambria"/>
        <family val="1"/>
      </rPr>
      <t>Expenses</t>
    </r>
  </si>
  <si>
    <r>
      <rPr>
        <sz val="12"/>
        <rFont val="Cambria"/>
        <family val="1"/>
      </rPr>
      <t>Erection Testing and commissioning</t>
    </r>
  </si>
  <si>
    <r>
      <rPr>
        <b/>
        <sz val="12"/>
        <rFont val="Cambria"/>
        <family val="1"/>
      </rPr>
      <t>Capital cost excluding IDC &amp; FC</t>
    </r>
  </si>
  <si>
    <r>
      <rPr>
        <sz val="12"/>
        <rFont val="Cambria"/>
        <family val="1"/>
      </rPr>
      <t>Foreign Exchange Rate Variation (FERV)</t>
    </r>
  </si>
  <si>
    <r>
      <rPr>
        <b/>
        <sz val="12"/>
        <rFont val="Cambria"/>
        <family val="1"/>
      </rPr>
      <t>Total of IDC, FC,FERV &amp; Hedging Cost</t>
    </r>
  </si>
  <si>
    <r>
      <rPr>
        <b/>
        <sz val="12"/>
        <rFont val="Cambria"/>
        <family val="1"/>
      </rPr>
      <t xml:space="preserve">Capital cost including IDC,  FC, FERV &amp;
</t>
    </r>
    <r>
      <rPr>
        <b/>
        <sz val="12"/>
        <rFont val="Cambria"/>
        <family val="1"/>
      </rPr>
      <t>Hedging Cost</t>
    </r>
  </si>
  <si>
    <r>
      <rPr>
        <i/>
        <sz val="12"/>
        <rFont val="Palatino Linotype"/>
        <family val="1"/>
      </rPr>
      <t>*Provide details of Freehold land and Lease hold land separately</t>
    </r>
  </si>
  <si>
    <r>
      <rPr>
        <b/>
        <sz val="12"/>
        <rFont val="Cambria"/>
        <family val="1"/>
      </rPr>
      <t xml:space="preserve">Note:
</t>
    </r>
    <r>
      <rPr>
        <b/>
        <sz val="12"/>
        <rFont val="Cambria"/>
        <family val="1"/>
      </rPr>
      <t xml:space="preserve">1.   </t>
    </r>
    <r>
      <rPr>
        <sz val="12"/>
        <rFont val="Cambria"/>
        <family val="1"/>
      </rPr>
      <t>In case of cost variation, a detailed note giving reasons of such variation should be submitted clearly indicating whether such cost over-run was beyond the control of the generating company.</t>
    </r>
  </si>
  <si>
    <r>
      <rPr>
        <sz val="12"/>
        <rFont val="Cambria"/>
        <family val="1"/>
      </rPr>
      <t>2.   In case of time &amp; cost overrun, a detailed note giving reasons of such time and cost over-run should be submitted clearly bringing out the agency responsible and whether such time and cost overrun was beyond the control of the generating company.</t>
    </r>
  </si>
  <si>
    <r>
      <rPr>
        <sz val="12"/>
        <rFont val="Cambria"/>
        <family val="1"/>
      </rPr>
      <t>3.   The implication on cost due to time over run, if any shall be submitted separately giving details of increase in prices in different packages   from   scheduled   COD   to   Actual   COD/anticipated   COD,   increase   in   IEDC   from   scheduled   COD   to   actual COD/anticipated COD and increase of IDC from scheduled COD to actual anticipated COD.</t>
    </r>
  </si>
  <si>
    <r>
      <rPr>
        <b/>
        <sz val="12"/>
        <rFont val="Cambria"/>
        <family val="1"/>
      </rPr>
      <t xml:space="preserve">4.   </t>
    </r>
    <r>
      <rPr>
        <sz val="12"/>
        <rFont val="Cambria"/>
        <family val="1"/>
      </rPr>
      <t>Impact  on  account  of  each  reason  for  Time  over  run  on  Cost  of  project  should  be  quantified  and  substantiated  with  necessary documents and supporting workings. A list of balance work assets/work wise including initial spare on original scope of works along with estimate shall be furnished positively</t>
    </r>
  </si>
  <si>
    <r>
      <rPr>
        <b/>
        <u val="single"/>
        <sz val="12"/>
        <rFont val="Cambria"/>
        <family val="1"/>
      </rPr>
      <t xml:space="preserve">Break-up of Construction/Supply/Service packages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</si>
  <si>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D</t>
    </r>
  </si>
  <si>
    <r>
      <rPr>
        <b/>
        <sz val="12"/>
        <rFont val="Cambria"/>
        <family val="1"/>
      </rPr>
      <t>Name/No. of Construction / Supply / Service Package</t>
    </r>
  </si>
  <si>
    <r>
      <rPr>
        <b/>
        <sz val="12"/>
        <rFont val="Cambria"/>
        <family val="1"/>
      </rPr>
      <t>Package A</t>
    </r>
  </si>
  <si>
    <r>
      <rPr>
        <b/>
        <sz val="12"/>
        <rFont val="Cambria"/>
        <family val="1"/>
      </rPr>
      <t>Package B</t>
    </r>
  </si>
  <si>
    <r>
      <rPr>
        <b/>
        <sz val="12"/>
        <rFont val="Cambria"/>
        <family val="1"/>
      </rPr>
      <t>Package C</t>
    </r>
  </si>
  <si>
    <r>
      <rPr>
        <b/>
        <sz val="12"/>
        <rFont val="Cambria"/>
        <family val="1"/>
      </rPr>
      <t>…</t>
    </r>
  </si>
  <si>
    <r>
      <rPr>
        <b/>
        <sz val="12"/>
        <rFont val="Cambria"/>
        <family val="1"/>
      </rPr>
      <t xml:space="preserve">Total  Cost of all
</t>
    </r>
    <r>
      <rPr>
        <b/>
        <sz val="12"/>
        <rFont val="Cambria"/>
        <family val="1"/>
      </rPr>
      <t>packages</t>
    </r>
  </si>
  <si>
    <r>
      <rPr>
        <sz val="12"/>
        <rFont val="Cambria"/>
        <family val="1"/>
      </rPr>
      <t>Scope of works</t>
    </r>
    <r>
      <rPr>
        <vertAlign val="superscript"/>
        <sz val="8"/>
        <rFont val="Cambria"/>
        <family val="1"/>
      </rPr>
      <t xml:space="preserve">1  </t>
    </r>
    <r>
      <rPr>
        <sz val="12"/>
        <rFont val="Cambria"/>
        <family val="1"/>
      </rPr>
      <t xml:space="preserve">(in line with head of cost break-ups as
</t>
    </r>
    <r>
      <rPr>
        <sz val="12"/>
        <rFont val="Cambria"/>
        <family val="1"/>
      </rPr>
      <t>applicable)</t>
    </r>
  </si>
  <si>
    <r>
      <rPr>
        <sz val="12"/>
        <rFont val="Cambria"/>
        <family val="1"/>
      </rPr>
      <t xml:space="preserve">Whether awarded through ICB/DCB/ Departmentally/
</t>
    </r>
    <r>
      <rPr>
        <sz val="12"/>
        <rFont val="Cambria"/>
        <family val="1"/>
      </rPr>
      <t>Deposit Work</t>
    </r>
  </si>
  <si>
    <r>
      <rPr>
        <sz val="12"/>
        <rFont val="Cambria"/>
        <family val="1"/>
      </rPr>
      <t>No. of bids received</t>
    </r>
  </si>
  <si>
    <r>
      <rPr>
        <sz val="12"/>
        <rFont val="Cambria"/>
        <family val="1"/>
      </rPr>
      <t>Date of Award</t>
    </r>
  </si>
  <si>
    <r>
      <rPr>
        <sz val="12"/>
        <rFont val="Cambria"/>
        <family val="1"/>
      </rPr>
      <t>Date of Start of work</t>
    </r>
  </si>
  <si>
    <r>
      <rPr>
        <sz val="12"/>
        <rFont val="Cambria"/>
        <family val="1"/>
      </rPr>
      <t xml:space="preserve">Date of Completion of Work/Expected date of completion of
</t>
    </r>
    <r>
      <rPr>
        <sz val="12"/>
        <rFont val="Cambria"/>
        <family val="1"/>
      </rPr>
      <t>work</t>
    </r>
  </si>
  <si>
    <r>
      <rPr>
        <sz val="12"/>
        <rFont val="Cambria"/>
        <family val="1"/>
      </rPr>
      <t>Value of Award</t>
    </r>
    <r>
      <rPr>
        <vertAlign val="superscript"/>
        <sz val="8"/>
        <rFont val="Cambria"/>
        <family val="1"/>
      </rPr>
      <t xml:space="preserve">2  </t>
    </r>
    <r>
      <rPr>
        <sz val="12"/>
        <rFont val="Cambria"/>
        <family val="1"/>
      </rPr>
      <t>in (Rs. Lakh)</t>
    </r>
  </si>
  <si>
    <r>
      <rPr>
        <sz val="12"/>
        <rFont val="Cambria"/>
        <family val="1"/>
      </rPr>
      <t>Firm or With Escalation in prices</t>
    </r>
  </si>
  <si>
    <r>
      <rPr>
        <sz val="12"/>
        <rFont val="Cambria"/>
        <family val="1"/>
      </rPr>
      <t xml:space="preserve">Actual capital expenditure till the completion or up to COD
</t>
    </r>
    <r>
      <rPr>
        <sz val="12"/>
        <rFont val="Cambria"/>
        <family val="1"/>
      </rPr>
      <t>whichever is earlier(Rs.Lakh)</t>
    </r>
  </si>
  <si>
    <r>
      <rPr>
        <sz val="12"/>
        <rFont val="Cambria"/>
        <family val="1"/>
      </rPr>
      <t>Taxes &amp; Duties and IEDC (Rs. Lakh)</t>
    </r>
  </si>
  <si>
    <r>
      <rPr>
        <sz val="12"/>
        <rFont val="Cambria"/>
        <family val="1"/>
      </rPr>
      <t>IDC, FC, FERV &amp; Hedging cost (Rs. Lakh)</t>
    </r>
  </si>
  <si>
    <r>
      <rPr>
        <sz val="12"/>
        <rFont val="Cambria"/>
        <family val="1"/>
      </rPr>
      <t>Sub -total (9+10+11)  (Rs. Lakh)</t>
    </r>
  </si>
  <si>
    <r>
      <rPr>
        <b/>
        <sz val="12"/>
        <rFont val="Cambria"/>
        <family val="1"/>
      </rPr>
      <t xml:space="preserve">Note:
</t>
    </r>
    <r>
      <rPr>
        <sz val="12"/>
        <rFont val="Cambria"/>
        <family val="1"/>
      </rPr>
      <t xml:space="preserve">1. The scope of work in any package should be indicated in conformity of Capital cost break-up for the coal/lignite based plants in the FORM-B to the extent possible. In case of Gas/Liquid fuel based projects, break down in the similar manner in the relevant heads as per FORM-C.
</t>
    </r>
    <r>
      <rPr>
        <sz val="12"/>
        <rFont val="Cambria"/>
        <family val="1"/>
      </rPr>
      <t>2. If there is any package, which need to be shown in Indian Rupee and foreign currency(ies), the same should be shown separately along with the currency, the exchange rate and the date e.g. Rs.80 Cr. +US$50m=Rs.430Cr. at US$=Rs70 as on say 1.4.19.</t>
    </r>
  </si>
  <si>
    <r>
      <rPr>
        <b/>
        <sz val="12"/>
        <rFont val="Cambria"/>
        <family val="1"/>
      </rPr>
      <t xml:space="preserve">Details of variables, parameters, optional package etc. for New Project 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</si>
  <si>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E</t>
    </r>
  </si>
  <si>
    <r>
      <rPr>
        <b/>
        <sz val="12"/>
        <rFont val="Cambria"/>
        <family val="1"/>
      </rPr>
      <t>Unit Size</t>
    </r>
  </si>
  <si>
    <r>
      <rPr>
        <b/>
        <sz val="12"/>
        <rFont val="Cambria"/>
        <family val="1"/>
      </rPr>
      <t>Number of Units</t>
    </r>
  </si>
  <si>
    <r>
      <rPr>
        <b/>
        <sz val="12"/>
        <rFont val="Cambria"/>
        <family val="1"/>
      </rPr>
      <t>Greenfield/Extension</t>
    </r>
  </si>
  <si>
    <r>
      <rPr>
        <b/>
        <sz val="12"/>
        <rFont val="Cambria"/>
        <family val="1"/>
      </rPr>
      <t>Variables</t>
    </r>
  </si>
  <si>
    <r>
      <rPr>
        <b/>
        <sz val="12"/>
        <rFont val="Cambria"/>
        <family val="1"/>
      </rPr>
      <t>(Design Operating Range) Values</t>
    </r>
  </si>
  <si>
    <r>
      <rPr>
        <sz val="12"/>
        <rFont val="Cambria"/>
        <family val="1"/>
      </rPr>
      <t>Coal Quality – Calorific Value</t>
    </r>
  </si>
  <si>
    <r>
      <rPr>
        <sz val="12"/>
        <rFont val="Cambria"/>
        <family val="1"/>
      </rPr>
      <t>Ash Content</t>
    </r>
  </si>
  <si>
    <r>
      <rPr>
        <sz val="12"/>
        <rFont val="Cambria"/>
        <family val="1"/>
      </rPr>
      <t>Moisture Content</t>
    </r>
  </si>
  <si>
    <r>
      <rPr>
        <sz val="12"/>
        <rFont val="Cambria"/>
        <family val="1"/>
      </rPr>
      <t>Boiler Efficiency</t>
    </r>
  </si>
  <si>
    <r>
      <rPr>
        <sz val="12"/>
        <rFont val="Cambria"/>
        <family val="1"/>
      </rPr>
      <t>Suspended Particulate Matter</t>
    </r>
  </si>
  <si>
    <r>
      <rPr>
        <sz val="12"/>
        <rFont val="Cambria"/>
        <family val="1"/>
      </rPr>
      <t>Ash Utilization</t>
    </r>
  </si>
  <si>
    <r>
      <rPr>
        <sz val="12"/>
        <rFont val="Cambria"/>
        <family val="1"/>
      </rPr>
      <t>Boiler Configuration</t>
    </r>
  </si>
  <si>
    <r>
      <rPr>
        <sz val="12"/>
        <rFont val="Cambria"/>
        <family val="1"/>
      </rPr>
      <t>Turbine Heat Rate</t>
    </r>
  </si>
  <si>
    <r>
      <rPr>
        <sz val="12"/>
        <rFont val="Cambria"/>
        <family val="1"/>
      </rPr>
      <t>CW Temperature</t>
    </r>
  </si>
  <si>
    <r>
      <rPr>
        <sz val="12"/>
        <rFont val="Cambria"/>
        <family val="1"/>
      </rPr>
      <t>Water Source</t>
    </r>
  </si>
  <si>
    <r>
      <rPr>
        <sz val="12"/>
        <rFont val="Cambria"/>
        <family val="1"/>
      </rPr>
      <t>Distance of Water Source</t>
    </r>
  </si>
  <si>
    <r>
      <rPr>
        <sz val="12"/>
        <rFont val="Cambria"/>
        <family val="1"/>
      </rPr>
      <t>Clarifier</t>
    </r>
  </si>
  <si>
    <r>
      <rPr>
        <sz val="12"/>
        <rFont val="Cambria"/>
        <family val="1"/>
      </rPr>
      <t>Mode of Unloading Oil</t>
    </r>
  </si>
  <si>
    <r>
      <rPr>
        <sz val="12"/>
        <rFont val="Cambria"/>
        <family val="1"/>
      </rPr>
      <t>Coal handling Mechanism</t>
    </r>
  </si>
  <si>
    <r>
      <rPr>
        <sz val="12"/>
        <rFont val="Cambria"/>
        <family val="1"/>
      </rPr>
      <t>Type of Fly Ash Disposal and Distance</t>
    </r>
  </si>
  <si>
    <r>
      <rPr>
        <sz val="12"/>
        <rFont val="Cambria"/>
        <family val="1"/>
      </rPr>
      <t>Type of Bottom Ash Disposal and Distance</t>
    </r>
  </si>
  <si>
    <r>
      <rPr>
        <sz val="12"/>
        <rFont val="Cambria"/>
        <family val="1"/>
      </rPr>
      <t>Type of Soil</t>
    </r>
  </si>
  <si>
    <r>
      <rPr>
        <sz val="12"/>
        <rFont val="Cambria"/>
        <family val="1"/>
      </rPr>
      <t>Foundation Type (Chimney)</t>
    </r>
  </si>
  <si>
    <r>
      <rPr>
        <sz val="12"/>
        <rFont val="Cambria"/>
        <family val="1"/>
      </rPr>
      <t>Water Table</t>
    </r>
  </si>
  <si>
    <r>
      <rPr>
        <sz val="12"/>
        <rFont val="Cambria"/>
        <family val="1"/>
      </rPr>
      <t>Seismic and Wind Zone</t>
    </r>
  </si>
  <si>
    <r>
      <rPr>
        <sz val="12"/>
        <rFont val="Cambria"/>
        <family val="1"/>
      </rPr>
      <t>Condensate Cooling Method</t>
    </r>
  </si>
  <si>
    <r>
      <rPr>
        <sz val="12"/>
        <rFont val="Cambria"/>
        <family val="1"/>
      </rPr>
      <t>Desalination/RO Plant</t>
    </r>
  </si>
  <si>
    <r>
      <rPr>
        <sz val="12"/>
        <rFont val="Cambria"/>
        <family val="1"/>
      </rPr>
      <t>Evacuation Voltage Level</t>
    </r>
  </si>
  <si>
    <r>
      <rPr>
        <sz val="12"/>
        <rFont val="Cambria"/>
        <family val="1"/>
      </rPr>
      <t>Type of Coal (Domestic/Imported)</t>
    </r>
  </si>
  <si>
    <r>
      <rPr>
        <b/>
        <sz val="12"/>
        <rFont val="Cambria"/>
        <family val="1"/>
      </rPr>
      <t>Parameter/Variables</t>
    </r>
  </si>
  <si>
    <r>
      <rPr>
        <b/>
        <sz val="12"/>
        <rFont val="Cambria"/>
        <family val="1"/>
      </rPr>
      <t>Values</t>
    </r>
  </si>
  <si>
    <r>
      <rPr>
        <sz val="12"/>
        <rFont val="Cambria"/>
        <family val="1"/>
      </rPr>
      <t>Completion Schedule</t>
    </r>
  </si>
  <si>
    <r>
      <rPr>
        <sz val="12"/>
        <rFont val="Cambria"/>
        <family val="1"/>
      </rPr>
      <t>Terms of Payment</t>
    </r>
  </si>
  <si>
    <r>
      <rPr>
        <sz val="12"/>
        <rFont val="Cambria"/>
        <family val="1"/>
      </rPr>
      <t>Performance Guarantee Liability</t>
    </r>
  </si>
  <si>
    <r>
      <rPr>
        <sz val="12"/>
        <rFont val="Cambria"/>
        <family val="1"/>
      </rPr>
      <t>Basis of Price (Firm/Escalation-Linked)</t>
    </r>
  </si>
  <si>
    <r>
      <rPr>
        <sz val="12"/>
        <rFont val="Cambria"/>
        <family val="1"/>
      </rPr>
      <t>Equipment Supplier (Country of Origin)</t>
    </r>
  </si>
  <si>
    <r>
      <rPr>
        <b/>
        <sz val="12"/>
        <rFont val="Cambria"/>
        <family val="1"/>
      </rPr>
      <t>Optional Packages</t>
    </r>
  </si>
  <si>
    <r>
      <rPr>
        <b/>
        <sz val="12"/>
        <rFont val="Cambria"/>
        <family val="1"/>
      </rPr>
      <t>Yes/No</t>
    </r>
  </si>
  <si>
    <r>
      <rPr>
        <sz val="12"/>
        <rFont val="Cambria"/>
        <family val="1"/>
      </rPr>
      <t>Desalination Plant/RO Plant</t>
    </r>
  </si>
  <si>
    <r>
      <rPr>
        <sz val="12"/>
        <rFont val="Cambria"/>
        <family val="1"/>
      </rPr>
      <t>Railway Siding</t>
    </r>
  </si>
  <si>
    <r>
      <rPr>
        <sz val="12"/>
        <rFont val="Cambria"/>
        <family val="1"/>
      </rPr>
      <t>Unloading Equipment at Jetty</t>
    </r>
  </si>
  <si>
    <r>
      <rPr>
        <sz val="12"/>
        <rFont val="Cambria"/>
        <family val="1"/>
      </rPr>
      <t>Rolling Stock/Locomotive</t>
    </r>
  </si>
  <si>
    <r>
      <rPr>
        <sz val="12"/>
        <rFont val="Cambria"/>
        <family val="1"/>
      </rPr>
      <t>FGD Plant</t>
    </r>
  </si>
  <si>
    <r>
      <rPr>
        <sz val="12"/>
        <rFont val="Cambria"/>
        <family val="1"/>
      </rPr>
      <t>Length of Transmission Line till Tie Point (in km)</t>
    </r>
  </si>
  <si>
    <r>
      <rPr>
        <b/>
        <sz val="12"/>
        <rFont val="Cambria"/>
        <family val="1"/>
      </rPr>
      <t xml:space="preserve">(Petitioner)
</t>
    </r>
    <r>
      <rPr>
        <sz val="11"/>
        <rFont val="Calibri"/>
        <family val="1"/>
      </rPr>
      <t>55</t>
    </r>
  </si>
  <si>
    <r>
      <rPr>
        <b/>
        <sz val="12"/>
        <rFont val="Cambria"/>
        <family val="1"/>
      </rPr>
      <t xml:space="preserve">Detail of cost over run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</si>
  <si>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F</t>
    </r>
  </si>
  <si>
    <r>
      <rPr>
        <b/>
        <sz val="11"/>
        <rFont val="Cambria"/>
        <family val="1"/>
      </rPr>
      <t>Break Down</t>
    </r>
  </si>
  <si>
    <r>
      <rPr>
        <b/>
        <sz val="11"/>
        <rFont val="Cambria"/>
        <family val="1"/>
      </rPr>
      <t>Original Cost (Rs. Lakh) as approved by the Board of Members</t>
    </r>
  </si>
  <si>
    <r>
      <rPr>
        <b/>
        <sz val="11"/>
        <rFont val="Cambria"/>
        <family val="1"/>
      </rPr>
      <t xml:space="preserve">Actual/ Estimated Cost as incurred/to be incurred (Rs.
</t>
    </r>
    <r>
      <rPr>
        <b/>
        <sz val="11"/>
        <rFont val="Cambria"/>
        <family val="1"/>
      </rPr>
      <t>Lakh)</t>
    </r>
  </si>
  <si>
    <r>
      <rPr>
        <b/>
        <sz val="11"/>
        <rFont val="Cambria"/>
        <family val="1"/>
      </rPr>
      <t>Difference</t>
    </r>
  </si>
  <si>
    <r>
      <rPr>
        <b/>
        <sz val="11"/>
        <rFont val="Cambria"/>
        <family val="1"/>
      </rPr>
      <t xml:space="preserve">Reasons for Variation (Please submit supporting computations and documents wherever
</t>
    </r>
    <r>
      <rPr>
        <b/>
        <sz val="11"/>
        <rFont val="Cambria"/>
        <family val="1"/>
      </rPr>
      <t>applicable)</t>
    </r>
  </si>
  <si>
    <r>
      <rPr>
        <b/>
        <sz val="11"/>
        <rFont val="Cambria"/>
        <family val="1"/>
      </rPr>
      <t>Increase in soft cost due to increase in hard cost</t>
    </r>
  </si>
  <si>
    <r>
      <rPr>
        <b/>
        <sz val="11"/>
        <rFont val="Cambria"/>
        <family val="1"/>
      </rPr>
      <t>Total Cost</t>
    </r>
  </si>
  <si>
    <r>
      <rPr>
        <b/>
        <sz val="11"/>
        <rFont val="Cambria"/>
        <family val="1"/>
      </rPr>
      <t>Cost of Land &amp; Site Development</t>
    </r>
  </si>
  <si>
    <r>
      <rPr>
        <sz val="11"/>
        <rFont val="Cambria"/>
        <family val="1"/>
      </rPr>
      <t>Land*</t>
    </r>
  </si>
  <si>
    <r>
      <rPr>
        <sz val="11"/>
        <rFont val="Cambria"/>
        <family val="1"/>
      </rPr>
      <t>Rehabilitation &amp; Resettlement (R&amp;R)</t>
    </r>
  </si>
  <si>
    <r>
      <rPr>
        <sz val="11"/>
        <rFont val="Cambria"/>
        <family val="1"/>
      </rPr>
      <t xml:space="preserve">Preliminary Investigation &amp; Site
</t>
    </r>
    <r>
      <rPr>
        <sz val="11"/>
        <rFont val="Cambria"/>
        <family val="1"/>
      </rPr>
      <t>Development</t>
    </r>
  </si>
  <si>
    <r>
      <rPr>
        <b/>
        <sz val="11"/>
        <rFont val="Cambria"/>
        <family val="1"/>
      </rPr>
      <t>Plant &amp; Equipment</t>
    </r>
  </si>
  <si>
    <r>
      <rPr>
        <sz val="11"/>
        <rFont val="Cambria"/>
        <family val="1"/>
      </rPr>
      <t>Steam Generator Island</t>
    </r>
  </si>
  <si>
    <r>
      <rPr>
        <sz val="11"/>
        <rFont val="Cambria"/>
        <family val="1"/>
      </rPr>
      <t>Turbine Generator Island</t>
    </r>
  </si>
  <si>
    <r>
      <rPr>
        <sz val="11"/>
        <rFont val="Cambria"/>
        <family val="1"/>
      </rPr>
      <t>BOP Mechanical</t>
    </r>
  </si>
  <si>
    <r>
      <rPr>
        <sz val="11"/>
        <rFont val="Cambria"/>
        <family val="1"/>
      </rPr>
      <t>2.3.1</t>
    </r>
  </si>
  <si>
    <r>
      <rPr>
        <sz val="11"/>
        <rFont val="Cambria"/>
        <family val="1"/>
      </rPr>
      <t>Fuel  Handling &amp; Storage system</t>
    </r>
  </si>
  <si>
    <r>
      <rPr>
        <sz val="11"/>
        <rFont val="Cambria"/>
        <family val="1"/>
      </rPr>
      <t>2.3.2</t>
    </r>
  </si>
  <si>
    <r>
      <rPr>
        <sz val="11"/>
        <rFont val="Cambria"/>
        <family val="1"/>
      </rPr>
      <t>External water supply system</t>
    </r>
  </si>
  <si>
    <r>
      <rPr>
        <sz val="11"/>
        <rFont val="Cambria"/>
        <family val="1"/>
      </rPr>
      <t>2.3.3</t>
    </r>
  </si>
  <si>
    <r>
      <rPr>
        <sz val="11"/>
        <rFont val="Cambria"/>
        <family val="1"/>
      </rPr>
      <t>DM water Plant</t>
    </r>
  </si>
  <si>
    <r>
      <rPr>
        <sz val="11"/>
        <rFont val="Cambria"/>
        <family val="1"/>
      </rPr>
      <t>2.3.4</t>
    </r>
  </si>
  <si>
    <r>
      <rPr>
        <sz val="11"/>
        <rFont val="Cambria"/>
        <family val="1"/>
      </rPr>
      <t>Clarification plant</t>
    </r>
  </si>
  <si>
    <r>
      <rPr>
        <sz val="11"/>
        <rFont val="Cambria"/>
        <family val="1"/>
      </rPr>
      <t>2.3.5</t>
    </r>
  </si>
  <si>
    <r>
      <rPr>
        <sz val="11"/>
        <rFont val="Cambria"/>
        <family val="1"/>
      </rPr>
      <t>Chlorination Plant</t>
    </r>
  </si>
  <si>
    <r>
      <rPr>
        <sz val="11"/>
        <rFont val="Cambria"/>
        <family val="1"/>
      </rPr>
      <t>2.3.6</t>
    </r>
  </si>
  <si>
    <r>
      <rPr>
        <sz val="11"/>
        <rFont val="Cambria"/>
        <family val="1"/>
      </rPr>
      <t>2.3.7</t>
    </r>
  </si>
  <si>
    <r>
      <rPr>
        <sz val="11"/>
        <rFont val="Cambria"/>
        <family val="1"/>
      </rPr>
      <t>Ash Handling System</t>
    </r>
  </si>
  <si>
    <r>
      <rPr>
        <sz val="11"/>
        <rFont val="Cambria"/>
        <family val="1"/>
      </rPr>
      <t>2.3.8</t>
    </r>
  </si>
  <si>
    <r>
      <rPr>
        <sz val="11"/>
        <rFont val="Cambria"/>
        <family val="1"/>
      </rPr>
      <t>Coal Handling Plant</t>
    </r>
  </si>
  <si>
    <r>
      <rPr>
        <sz val="11"/>
        <rFont val="Cambria"/>
        <family val="1"/>
      </rPr>
      <t>2.3.9</t>
    </r>
  </si>
  <si>
    <r>
      <rPr>
        <sz val="11"/>
        <rFont val="Cambria"/>
        <family val="1"/>
      </rPr>
      <t>Rolling Stock and Locomotives</t>
    </r>
  </si>
  <si>
    <r>
      <rPr>
        <sz val="11"/>
        <rFont val="Cambria"/>
        <family val="1"/>
      </rPr>
      <t>MGR</t>
    </r>
  </si>
  <si>
    <r>
      <rPr>
        <sz val="11"/>
        <rFont val="Cambria"/>
        <family val="1"/>
      </rPr>
      <t>Air Compressor System</t>
    </r>
  </si>
  <si>
    <r>
      <rPr>
        <sz val="11"/>
        <rFont val="Cambria"/>
        <family val="1"/>
      </rPr>
      <t>Air Condition &amp; Ventilation System</t>
    </r>
  </si>
  <si>
    <r>
      <rPr>
        <sz val="11"/>
        <rFont val="Cambria"/>
        <family val="1"/>
      </rPr>
      <t>Fire fighting System</t>
    </r>
  </si>
  <si>
    <r>
      <rPr>
        <sz val="11"/>
        <rFont val="Cambria"/>
        <family val="1"/>
      </rPr>
      <t>HP/LP Piping</t>
    </r>
  </si>
  <si>
    <r>
      <rPr>
        <b/>
        <sz val="11"/>
        <rFont val="Cambria"/>
        <family val="1"/>
      </rPr>
      <t>Total BOP Mechanical</t>
    </r>
  </si>
  <si>
    <r>
      <rPr>
        <b/>
        <sz val="11"/>
        <rFont val="Cambria"/>
        <family val="1"/>
      </rPr>
      <t>BOP Electrical</t>
    </r>
  </si>
  <si>
    <r>
      <rPr>
        <sz val="11"/>
        <rFont val="Cambria"/>
        <family val="1"/>
      </rPr>
      <t>2.4.1</t>
    </r>
  </si>
  <si>
    <r>
      <rPr>
        <sz val="11"/>
        <rFont val="Cambria"/>
        <family val="1"/>
      </rPr>
      <t>Switch Yard Package</t>
    </r>
  </si>
  <si>
    <r>
      <rPr>
        <sz val="11"/>
        <rFont val="Cambria"/>
        <family val="1"/>
      </rPr>
      <t>2.4.2</t>
    </r>
  </si>
  <si>
    <r>
      <rPr>
        <sz val="11"/>
        <rFont val="Cambria"/>
        <family val="1"/>
      </rPr>
      <t>Transformers  Package</t>
    </r>
  </si>
  <si>
    <r>
      <rPr>
        <sz val="11"/>
        <rFont val="Cambria"/>
        <family val="1"/>
      </rPr>
      <t>2.4.3</t>
    </r>
  </si>
  <si>
    <r>
      <rPr>
        <sz val="11"/>
        <rFont val="Cambria"/>
        <family val="1"/>
      </rPr>
      <t>Switch gear  Package</t>
    </r>
  </si>
  <si>
    <r>
      <rPr>
        <sz val="11"/>
        <rFont val="Cambria"/>
        <family val="1"/>
      </rPr>
      <t>2.4.4</t>
    </r>
  </si>
  <si>
    <r>
      <rPr>
        <sz val="11"/>
        <rFont val="Cambria"/>
        <family val="1"/>
      </rPr>
      <t>Cables, Cable facilities &amp; grounding</t>
    </r>
  </si>
  <si>
    <r>
      <rPr>
        <sz val="11"/>
        <rFont val="Cambria"/>
        <family val="1"/>
      </rPr>
      <t>2.4.5</t>
    </r>
  </si>
  <si>
    <r>
      <rPr>
        <sz val="11"/>
        <rFont val="Cambria"/>
        <family val="1"/>
      </rPr>
      <t>Lighting</t>
    </r>
  </si>
  <si>
    <r>
      <rPr>
        <sz val="11"/>
        <rFont val="Cambria"/>
        <family val="1"/>
      </rPr>
      <t>2.4.6</t>
    </r>
  </si>
  <si>
    <r>
      <rPr>
        <sz val="11"/>
        <rFont val="Cambria"/>
        <family val="1"/>
      </rPr>
      <t>Emergency  D.G. set</t>
    </r>
  </si>
  <si>
    <r>
      <rPr>
        <b/>
        <sz val="11"/>
        <rFont val="Cambria"/>
        <family val="1"/>
      </rPr>
      <t>Total BOP Electrical</t>
    </r>
  </si>
  <si>
    <r>
      <rPr>
        <b/>
        <sz val="11"/>
        <rFont val="Cambria"/>
        <family val="1"/>
      </rPr>
      <t xml:space="preserve">Control &amp; Instrumentation (C &amp; I)
</t>
    </r>
    <r>
      <rPr>
        <b/>
        <sz val="11"/>
        <rFont val="Cambria"/>
        <family val="1"/>
      </rPr>
      <t>Package</t>
    </r>
  </si>
  <si>
    <r>
      <rPr>
        <b/>
        <sz val="11"/>
        <rFont val="Cambria"/>
        <family val="1"/>
      </rPr>
      <t xml:space="preserve">Total Plant &amp; Equipment excluding
</t>
    </r>
    <r>
      <rPr>
        <b/>
        <sz val="11"/>
        <rFont val="Cambria"/>
        <family val="1"/>
      </rPr>
      <t>taxes &amp; Duties</t>
    </r>
  </si>
  <si>
    <r>
      <rPr>
        <b/>
        <sz val="11"/>
        <rFont val="Cambria"/>
        <family val="1"/>
      </rPr>
      <t>Initial Spares</t>
    </r>
  </si>
  <si>
    <r>
      <rPr>
        <b/>
        <sz val="11"/>
        <rFont val="Cambria"/>
        <family val="1"/>
      </rPr>
      <t>Civil Works</t>
    </r>
  </si>
  <si>
    <r>
      <rPr>
        <sz val="11"/>
        <rFont val="Cambria"/>
        <family val="1"/>
      </rPr>
      <t>Main plant/Adm. Building</t>
    </r>
  </si>
  <si>
    <r>
      <rPr>
        <sz val="11"/>
        <rFont val="Cambria"/>
        <family val="1"/>
      </rPr>
      <t>CW system</t>
    </r>
  </si>
  <si>
    <r>
      <rPr>
        <sz val="11"/>
        <rFont val="Cambria"/>
        <family val="1"/>
      </rPr>
      <t>Cooling Towers</t>
    </r>
  </si>
  <si>
    <r>
      <rPr>
        <sz val="11"/>
        <rFont val="Cambria"/>
        <family val="1"/>
      </rPr>
      <t>Chlorination plant</t>
    </r>
  </si>
  <si>
    <r>
      <rPr>
        <sz val="11"/>
        <rFont val="Cambria"/>
        <family val="1"/>
      </rPr>
      <t>Fuel handling &amp; Storage system</t>
    </r>
  </si>
  <si>
    <r>
      <rPr>
        <sz val="11"/>
        <rFont val="Cambria"/>
        <family val="1"/>
      </rPr>
      <t>MGR &amp;Marshalling Yard</t>
    </r>
  </si>
  <si>
    <r>
      <rPr>
        <sz val="11"/>
        <rFont val="Cambria"/>
        <family val="1"/>
      </rPr>
      <t>Ash disposal area development</t>
    </r>
  </si>
  <si>
    <r>
      <rPr>
        <sz val="11"/>
        <rFont val="Cambria"/>
        <family val="1"/>
      </rPr>
      <t>Township &amp; Colony</t>
    </r>
  </si>
  <si>
    <r>
      <rPr>
        <sz val="11"/>
        <rFont val="Cambria"/>
        <family val="1"/>
      </rPr>
      <t>Temp. construction &amp; enabling works</t>
    </r>
  </si>
  <si>
    <r>
      <rPr>
        <sz val="11"/>
        <rFont val="Cambria"/>
        <family val="1"/>
      </rPr>
      <t>Road &amp; Drainage</t>
    </r>
  </si>
  <si>
    <r>
      <rPr>
        <b/>
        <sz val="11"/>
        <rFont val="Cambria"/>
        <family val="1"/>
      </rPr>
      <t>Total Civil works</t>
    </r>
  </si>
  <si>
    <r>
      <rPr>
        <b/>
        <sz val="11"/>
        <rFont val="Cambria"/>
        <family val="1"/>
      </rPr>
      <t xml:space="preserve">Construction &amp; Pre- Commissioning
</t>
    </r>
    <r>
      <rPr>
        <b/>
        <sz val="11"/>
        <rFont val="Cambria"/>
        <family val="1"/>
      </rPr>
      <t>Expenses</t>
    </r>
  </si>
  <si>
    <r>
      <rPr>
        <sz val="11"/>
        <rFont val="Cambria"/>
        <family val="1"/>
      </rPr>
      <t>Erection Testing and commissioning</t>
    </r>
  </si>
  <si>
    <r>
      <rPr>
        <sz val="11"/>
        <rFont val="Cambria"/>
        <family val="1"/>
      </rPr>
      <t>Site supervision</t>
    </r>
  </si>
  <si>
    <r>
      <rPr>
        <sz val="11"/>
        <rFont val="Cambria"/>
        <family val="1"/>
      </rPr>
      <t>Operator's Training</t>
    </r>
  </si>
  <si>
    <r>
      <rPr>
        <sz val="11"/>
        <rFont val="Cambria"/>
        <family val="1"/>
      </rPr>
      <t>Construction Insurance</t>
    </r>
  </si>
  <si>
    <r>
      <rPr>
        <sz val="11"/>
        <rFont val="Cambria"/>
        <family val="1"/>
      </rPr>
      <t>Tools &amp; Plant</t>
    </r>
  </si>
  <si>
    <r>
      <rPr>
        <sz val="11"/>
        <rFont val="Cambria"/>
        <family val="1"/>
      </rPr>
      <t>Startup fuel</t>
    </r>
  </si>
  <si>
    <r>
      <rPr>
        <b/>
        <sz val="11"/>
        <rFont val="Cambria"/>
        <family val="1"/>
      </rPr>
      <t xml:space="preserve">Total  Construction &amp; Pre-
</t>
    </r>
    <r>
      <rPr>
        <b/>
        <sz val="11"/>
        <rFont val="Cambria"/>
        <family val="1"/>
      </rPr>
      <t>Commissioning Expenses</t>
    </r>
  </si>
  <si>
    <r>
      <rPr>
        <b/>
        <sz val="11"/>
        <rFont val="Cambria"/>
        <family val="1"/>
      </rPr>
      <t>Overheads</t>
    </r>
  </si>
  <si>
    <r>
      <rPr>
        <sz val="11"/>
        <rFont val="Cambria"/>
        <family val="1"/>
      </rPr>
      <t>Establishment</t>
    </r>
  </si>
  <si>
    <r>
      <rPr>
        <sz val="11"/>
        <rFont val="Cambria"/>
        <family val="1"/>
      </rPr>
      <t>Design &amp; Engineering</t>
    </r>
  </si>
  <si>
    <r>
      <rPr>
        <sz val="11"/>
        <rFont val="Cambria"/>
        <family val="1"/>
      </rPr>
      <t>Audit &amp; Accounts</t>
    </r>
  </si>
  <si>
    <r>
      <rPr>
        <sz val="11"/>
        <rFont val="Cambria"/>
        <family val="1"/>
      </rPr>
      <t>Contingency</t>
    </r>
  </si>
  <si>
    <r>
      <rPr>
        <b/>
        <sz val="11"/>
        <rFont val="Cambria"/>
        <family val="1"/>
      </rPr>
      <t>Total Overheads</t>
    </r>
  </si>
  <si>
    <r>
      <rPr>
        <b/>
        <sz val="11"/>
        <rFont val="Cambria"/>
        <family val="1"/>
      </rPr>
      <t>Capital cost excluding IDC &amp; FC</t>
    </r>
  </si>
  <si>
    <r>
      <rPr>
        <b/>
        <sz val="11"/>
        <rFont val="Cambria"/>
        <family val="1"/>
      </rPr>
      <t>IDC, FC, FERV &amp;Hedging Cost</t>
    </r>
  </si>
  <si>
    <r>
      <rPr>
        <sz val="11"/>
        <rFont val="Cambria"/>
        <family val="1"/>
      </rPr>
      <t>Interest During Construction (IDC)</t>
    </r>
  </si>
  <si>
    <r>
      <rPr>
        <sz val="11"/>
        <rFont val="Cambria"/>
        <family val="1"/>
      </rPr>
      <t>Financing Charges (FC)</t>
    </r>
  </si>
  <si>
    <r>
      <rPr>
        <sz val="11"/>
        <rFont val="Cambria"/>
        <family val="1"/>
      </rPr>
      <t xml:space="preserve">Foreign Exchange Rate Variation
</t>
    </r>
    <r>
      <rPr>
        <sz val="11"/>
        <rFont val="Cambria"/>
        <family val="1"/>
      </rPr>
      <t>(FERV)</t>
    </r>
  </si>
  <si>
    <r>
      <rPr>
        <sz val="11"/>
        <rFont val="Cambria"/>
        <family val="1"/>
      </rPr>
      <t>Hedging Coat</t>
    </r>
  </si>
  <si>
    <r>
      <rPr>
        <b/>
        <sz val="11"/>
        <rFont val="Cambria"/>
        <family val="1"/>
      </rPr>
      <t xml:space="preserve">Total of IDC, FC,FERV &amp; Hedging
</t>
    </r>
    <r>
      <rPr>
        <b/>
        <sz val="11"/>
        <rFont val="Cambria"/>
        <family val="1"/>
      </rPr>
      <t>Cost</t>
    </r>
  </si>
  <si>
    <r>
      <rPr>
        <b/>
        <sz val="11"/>
        <rFont val="Cambria"/>
        <family val="1"/>
      </rPr>
      <t xml:space="preserve">Capital cost including IDC,  FC, FERV
</t>
    </r>
    <r>
      <rPr>
        <b/>
        <sz val="11"/>
        <rFont val="Cambria"/>
        <family val="1"/>
      </rPr>
      <t>&amp; Hedging Cost</t>
    </r>
  </si>
  <si>
    <r>
      <rPr>
        <i/>
        <sz val="12"/>
        <rFont val="Palatino Linotype"/>
        <family val="1"/>
      </rPr>
      <t xml:space="preserve">*Submit details of Freehold and Lease hold land
</t>
    </r>
    <r>
      <rPr>
        <sz val="12"/>
        <rFont val="Cambria"/>
        <family val="1"/>
      </rPr>
      <t xml:space="preserve">Note: Impact on account of each reason for Cost overrun should be quantified and substantiated with necessary documents and
</t>
    </r>
    <r>
      <rPr>
        <sz val="12"/>
        <rFont val="Cambria"/>
        <family val="1"/>
      </rPr>
      <t>supporting workings.</t>
    </r>
  </si>
  <si>
    <r>
      <rPr>
        <b/>
        <sz val="12"/>
        <rFont val="Cambria"/>
        <family val="1"/>
      </rPr>
      <t xml:space="preserve">Detail of time over run
</t>
    </r>
    <r>
      <rPr>
        <b/>
        <sz val="12"/>
        <rFont val="Cambria"/>
        <family val="1"/>
      </rPr>
      <t xml:space="preserve">Name of the Petitioner                                   </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</si>
  <si>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 1 FORM- G</t>
    </r>
  </si>
  <si>
    <r>
      <rPr>
        <b/>
        <sz val="12"/>
        <rFont val="Cambria"/>
        <family val="1"/>
      </rPr>
      <t xml:space="preserve">S.
</t>
    </r>
    <r>
      <rPr>
        <b/>
        <sz val="12"/>
        <rFont val="Cambria"/>
        <family val="1"/>
      </rPr>
      <t>No</t>
    </r>
  </si>
  <si>
    <r>
      <rPr>
        <b/>
        <sz val="12"/>
        <rFont val="Cambria"/>
        <family val="1"/>
      </rPr>
      <t>Description of Activity / Works / Service</t>
    </r>
  </si>
  <si>
    <r>
      <rPr>
        <b/>
        <sz val="12"/>
        <rFont val="Cambria"/>
        <family val="1"/>
      </rPr>
      <t xml:space="preserve">Original Schedule
</t>
    </r>
    <r>
      <rPr>
        <b/>
        <sz val="12"/>
        <rFont val="Cambria"/>
        <family val="1"/>
      </rPr>
      <t>(As per Planning)</t>
    </r>
  </si>
  <si>
    <r>
      <rPr>
        <b/>
        <sz val="12"/>
        <rFont val="Cambria"/>
        <family val="1"/>
      </rPr>
      <t xml:space="preserve">Actual Schedule
</t>
    </r>
    <r>
      <rPr>
        <b/>
        <sz val="12"/>
        <rFont val="Cambria"/>
        <family val="1"/>
      </rPr>
      <t>(As per  Actual)</t>
    </r>
  </si>
  <si>
    <r>
      <rPr>
        <b/>
        <sz val="12"/>
        <rFont val="Cambria"/>
        <family val="1"/>
      </rPr>
      <t xml:space="preserve">Time
</t>
    </r>
    <r>
      <rPr>
        <b/>
        <sz val="12"/>
        <rFont val="Cambria"/>
        <family val="1"/>
      </rPr>
      <t>Over-Run</t>
    </r>
  </si>
  <si>
    <r>
      <rPr>
        <b/>
        <sz val="12"/>
        <rFont val="Cambria"/>
        <family val="1"/>
      </rPr>
      <t>Reasons for delay</t>
    </r>
  </si>
  <si>
    <r>
      <rPr>
        <b/>
        <sz val="12"/>
        <rFont val="Cambria"/>
        <family val="1"/>
      </rPr>
      <t xml:space="preserve">Other Activity affected (Mention S. No. of activity
</t>
    </r>
    <r>
      <rPr>
        <b/>
        <sz val="12"/>
        <rFont val="Cambria"/>
        <family val="1"/>
      </rPr>
      <t>affected)</t>
    </r>
  </si>
  <si>
    <r>
      <rPr>
        <b/>
        <sz val="12"/>
        <rFont val="Cambria"/>
        <family val="1"/>
      </rPr>
      <t>Start Date</t>
    </r>
  </si>
  <si>
    <r>
      <rPr>
        <b/>
        <sz val="12"/>
        <rFont val="Cambria"/>
        <family val="1"/>
      </rPr>
      <t>Completion Date</t>
    </r>
  </si>
  <si>
    <r>
      <rPr>
        <b/>
        <sz val="12"/>
        <rFont val="Cambria"/>
        <family val="1"/>
      </rPr>
      <t>Actual Start Date</t>
    </r>
  </si>
  <si>
    <r>
      <rPr>
        <b/>
        <sz val="12"/>
        <rFont val="Cambria"/>
        <family val="1"/>
      </rPr>
      <t xml:space="preserve">Actual Completion
</t>
    </r>
    <r>
      <rPr>
        <b/>
        <sz val="12"/>
        <rFont val="Cambria"/>
        <family val="1"/>
      </rPr>
      <t>Date</t>
    </r>
  </si>
  <si>
    <r>
      <rPr>
        <b/>
        <sz val="12"/>
        <rFont val="Cambria"/>
        <family val="1"/>
      </rPr>
      <t>Days</t>
    </r>
  </si>
  <si>
    <r>
      <rPr>
        <sz val="12"/>
        <rFont val="Cambria"/>
        <family val="1"/>
      </rPr>
      <t>….</t>
    </r>
  </si>
  <si>
    <r>
      <rPr>
        <b/>
        <sz val="12"/>
        <rFont val="Cambria"/>
        <family val="1"/>
      </rPr>
      <t>……..</t>
    </r>
  </si>
  <si>
    <r>
      <rPr>
        <sz val="12"/>
        <rFont val="Cambria"/>
        <family val="1"/>
      </rPr>
      <t xml:space="preserve">1.   Delay on account of each reason in case of time overrun should be quantified and substantiated with necessary documents and supporting workings.
</t>
    </r>
    <r>
      <rPr>
        <sz val="12"/>
        <rFont val="Cambria"/>
        <family val="1"/>
      </rPr>
      <t>2.   Indicate the activities on critical path.</t>
    </r>
  </si>
  <si>
    <r>
      <rPr>
        <b/>
        <u val="single"/>
        <sz val="12"/>
        <rFont val="Cambria"/>
        <family val="1"/>
      </rPr>
      <t>Statement of Additional Capitalisation during five year before the end of useful life of the Project</t>
    </r>
  </si>
  <si>
    <r>
      <rPr>
        <b/>
        <sz val="12"/>
        <rFont val="Cambria"/>
        <family val="1"/>
      </rPr>
      <t>PART 1 FORM- H</t>
    </r>
  </si>
  <si>
    <r>
      <rPr>
        <b/>
        <sz val="12"/>
        <rFont val="Cambria"/>
        <family val="1"/>
      </rPr>
      <t xml:space="preserve">Name of the Petitioner
</t>
    </r>
    <r>
      <rPr>
        <b/>
        <sz val="12"/>
        <rFont val="Cambria"/>
        <family val="1"/>
      </rPr>
      <t>Name of the Generating Station COD</t>
    </r>
  </si>
  <si>
    <r>
      <rPr>
        <b/>
        <sz val="12"/>
        <rFont val="Cambria"/>
        <family val="1"/>
      </rPr>
      <t>Year</t>
    </r>
  </si>
  <si>
    <r>
      <rPr>
        <b/>
        <sz val="12"/>
        <rFont val="Cambria"/>
        <family val="1"/>
      </rPr>
      <t>Work / Equipment added during last five years of useful life of each Unit/Station</t>
    </r>
  </si>
  <si>
    <r>
      <rPr>
        <b/>
        <sz val="12"/>
        <rFont val="Cambria"/>
        <family val="1"/>
      </rPr>
      <t>ACE Claimed (Actual / Projected)</t>
    </r>
  </si>
  <si>
    <r>
      <rPr>
        <b/>
        <sz val="12"/>
        <rFont val="Cambria"/>
        <family val="1"/>
      </rPr>
      <t>Regulations under which claimed</t>
    </r>
  </si>
  <si>
    <r>
      <rPr>
        <b/>
        <sz val="12"/>
        <rFont val="Cambria"/>
        <family val="1"/>
      </rPr>
      <t>Justification</t>
    </r>
  </si>
  <si>
    <r>
      <rPr>
        <b/>
        <sz val="12"/>
        <rFont val="Cambria"/>
        <family val="1"/>
      </rPr>
      <t>Impact on life extension</t>
    </r>
  </si>
  <si>
    <r>
      <rPr>
        <b/>
        <sz val="12"/>
        <rFont val="Cambria"/>
        <family val="1"/>
      </rPr>
      <t>Accrual basis</t>
    </r>
  </si>
  <si>
    <r>
      <rPr>
        <b/>
        <sz val="12"/>
        <rFont val="Cambria"/>
        <family val="1"/>
      </rPr>
      <t xml:space="preserve">Un- discharged Liability included in
</t>
    </r>
    <r>
      <rPr>
        <b/>
        <sz val="12"/>
        <rFont val="Cambria"/>
        <family val="1"/>
      </rPr>
      <t>col. 4</t>
    </r>
  </si>
  <si>
    <r>
      <rPr>
        <b/>
        <sz val="12"/>
        <rFont val="Cambria"/>
        <family val="1"/>
      </rPr>
      <t>Cash basis</t>
    </r>
  </si>
  <si>
    <r>
      <rPr>
        <b/>
        <sz val="12"/>
        <rFont val="Cambria"/>
        <family val="1"/>
      </rPr>
      <t xml:space="preserve">IDC
</t>
    </r>
    <r>
      <rPr>
        <b/>
        <sz val="12"/>
        <rFont val="Cambria"/>
        <family val="1"/>
      </rPr>
      <t>included in col. 4</t>
    </r>
  </si>
  <si>
    <r>
      <rPr>
        <b/>
        <sz val="12"/>
        <rFont val="Cambria"/>
        <family val="1"/>
      </rPr>
      <t>(6 = 4 - 5)</t>
    </r>
  </si>
  <si>
    <r>
      <rPr>
        <b/>
        <sz val="12"/>
        <rFont val="Cambria"/>
        <family val="1"/>
      </rPr>
      <t xml:space="preserve">Note:
</t>
    </r>
    <r>
      <rPr>
        <sz val="12"/>
        <rFont val="Cambria"/>
        <family val="1"/>
      </rPr>
      <t xml:space="preserve">1.   Cost Benefit analysis for capital additions done should be submitted along with petition for approval of such schemes
</t>
    </r>
    <r>
      <rPr>
        <sz val="12"/>
        <rFont val="Cambria"/>
        <family val="1"/>
      </rPr>
      <t>2.   Justification for additional capital expenditure claim for each asset should be relevant to regulations under which claim has been made and the necessity of capitalization of the asset.</t>
    </r>
  </si>
  <si>
    <r>
      <rPr>
        <b/>
        <u val="single"/>
        <sz val="12"/>
        <rFont val="Cambria"/>
        <family val="1"/>
      </rPr>
      <t>Details of Assets De-capitalized during the period</t>
    </r>
  </si>
  <si>
    <r>
      <rPr>
        <b/>
        <sz val="12"/>
        <rFont val="Cambria"/>
        <family val="1"/>
      </rPr>
      <t>PART 1 FORM- I</t>
    </r>
  </si>
  <si>
    <r>
      <rPr>
        <b/>
        <sz val="12"/>
        <rFont val="Cambria"/>
        <family val="1"/>
      </rPr>
      <t xml:space="preserve">Name of the Petitioner
</t>
    </r>
    <r>
      <rPr>
        <b/>
        <sz val="12"/>
        <rFont val="Cambria"/>
        <family val="1"/>
      </rPr>
      <t xml:space="preserve">Name of the Generating Station
</t>
    </r>
    <r>
      <rPr>
        <b/>
        <sz val="12"/>
        <rFont val="Cambria"/>
        <family val="1"/>
      </rPr>
      <t>Region                                                                                State                               District</t>
    </r>
  </si>
  <si>
    <r>
      <rPr>
        <b/>
        <sz val="12"/>
        <rFont val="Cambria"/>
        <family val="1"/>
      </rPr>
      <t>Name of the Asset</t>
    </r>
  </si>
  <si>
    <r>
      <rPr>
        <b/>
        <sz val="12"/>
        <rFont val="Cambria"/>
        <family val="1"/>
      </rPr>
      <t>Nature of de-capitlization (whether claimed under exclusion or as additional capital expenditure)</t>
    </r>
  </si>
  <si>
    <r>
      <rPr>
        <b/>
        <sz val="12"/>
        <rFont val="Cambria"/>
        <family val="1"/>
      </rPr>
      <t>Original Value of the Asset Capitalised</t>
    </r>
  </si>
  <si>
    <r>
      <rPr>
        <b/>
        <sz val="12"/>
        <rFont val="Cambria"/>
        <family val="1"/>
      </rPr>
      <t>Year Put to use</t>
    </r>
  </si>
  <si>
    <r>
      <rPr>
        <b/>
        <sz val="12"/>
        <rFont val="Cambria"/>
        <family val="1"/>
      </rPr>
      <t>Depreciation recovered till date of de-capitalization</t>
    </r>
  </si>
  <si>
    <r>
      <rPr>
        <b/>
        <sz val="12"/>
        <rFont val="Cambria"/>
        <family val="1"/>
      </rPr>
      <t xml:space="preserve">Whether earning RoE at the normal rate of weightage average rate of interest on
</t>
    </r>
    <r>
      <rPr>
        <b/>
        <sz val="12"/>
        <rFont val="Cambria"/>
        <family val="1"/>
      </rPr>
      <t>loan</t>
    </r>
  </si>
  <si>
    <r>
      <rPr>
        <b/>
        <sz val="12"/>
        <rFont val="Cambria"/>
        <family val="1"/>
      </rPr>
      <t xml:space="preserve">Note: </t>
    </r>
    <r>
      <rPr>
        <sz val="12"/>
        <rFont val="Cambria"/>
        <family val="1"/>
      </rPr>
      <t xml:space="preserve">Year wise detail need to be submitted.
</t>
    </r>
    <r>
      <rPr>
        <b/>
        <sz val="12"/>
        <rFont val="Cambria"/>
        <family val="1"/>
      </rPr>
      <t>(Petitioner)</t>
    </r>
  </si>
  <si>
    <r>
      <rPr>
        <b/>
        <sz val="12"/>
        <rFont val="Cambria"/>
        <family val="1"/>
      </rPr>
      <t>Reconciliation of capitalisation claimed vis-à-vis books</t>
    </r>
  </si>
  <si>
    <r>
      <rPr>
        <b/>
        <sz val="12"/>
        <rFont val="Cambria"/>
        <family val="1"/>
      </rPr>
      <t xml:space="preserve">PART 1 FORM- J
</t>
    </r>
    <r>
      <rPr>
        <sz val="12"/>
        <rFont val="Cambria"/>
        <family val="1"/>
      </rPr>
      <t>(Amount in Rs. Lakh)</t>
    </r>
  </si>
  <si>
    <r>
      <rPr>
        <sz val="12"/>
        <rFont val="Cambria"/>
        <family val="1"/>
      </rPr>
      <t>Closing Gross Block as per IND AS</t>
    </r>
  </si>
  <si>
    <r>
      <rPr>
        <sz val="12"/>
        <rFont val="Cambria"/>
        <family val="1"/>
      </rPr>
      <t>Add/Less: Adjustments*</t>
    </r>
  </si>
  <si>
    <r>
      <rPr>
        <sz val="12"/>
        <rFont val="Cambria"/>
        <family val="1"/>
      </rPr>
      <t>Closing Gross Block as per IGAAP</t>
    </r>
  </si>
  <si>
    <r>
      <rPr>
        <sz val="12"/>
        <rFont val="Cambria"/>
        <family val="1"/>
      </rPr>
      <t>Opening Gross Block as per IND AS</t>
    </r>
  </si>
  <si>
    <r>
      <rPr>
        <sz val="12"/>
        <rFont val="Cambria"/>
        <family val="1"/>
      </rPr>
      <t>Opening Gross Block as per IGAAP</t>
    </r>
  </si>
  <si>
    <r>
      <rPr>
        <b/>
        <sz val="12"/>
        <rFont val="Cambria"/>
        <family val="1"/>
      </rPr>
      <t>Total Additions as per books (G = 3 - 5)</t>
    </r>
  </si>
  <si>
    <r>
      <rPr>
        <sz val="12"/>
        <rFont val="Cambria"/>
        <family val="1"/>
      </rPr>
      <t xml:space="preserve">Less: Additions pertaining to other Stages (give
</t>
    </r>
    <r>
      <rPr>
        <sz val="12"/>
        <rFont val="Cambria"/>
        <family val="1"/>
      </rPr>
      <t>Stage wise breakup)</t>
    </r>
  </si>
  <si>
    <r>
      <rPr>
        <b/>
        <sz val="12"/>
        <rFont val="Cambria"/>
        <family val="1"/>
      </rPr>
      <t xml:space="preserve">Net Additions pertaining to instant
</t>
    </r>
    <r>
      <rPr>
        <b/>
        <sz val="12"/>
        <rFont val="Cambria"/>
        <family val="1"/>
      </rPr>
      <t>project/Unit/Stage</t>
    </r>
  </si>
  <si>
    <r>
      <rPr>
        <sz val="12"/>
        <rFont val="Cambria"/>
        <family val="1"/>
      </rPr>
      <t xml:space="preserve">Less: Exclusions (items not allowable / not
</t>
    </r>
    <r>
      <rPr>
        <sz val="12"/>
        <rFont val="Cambria"/>
        <family val="1"/>
      </rPr>
      <t>claimed)</t>
    </r>
  </si>
  <si>
    <r>
      <rPr>
        <b/>
        <sz val="12"/>
        <rFont val="Cambria"/>
        <family val="1"/>
      </rPr>
      <t xml:space="preserve">Net Additional Capital Expenditure Claimed (on
</t>
    </r>
    <r>
      <rPr>
        <b/>
        <sz val="12"/>
        <rFont val="Cambria"/>
        <family val="1"/>
      </rPr>
      <t>accrual basis)</t>
    </r>
  </si>
  <si>
    <r>
      <rPr>
        <b/>
        <sz val="12"/>
        <rFont val="Cambria"/>
        <family val="1"/>
      </rPr>
      <t>Less: Un-discharged Liabilities (as per IGAAP)</t>
    </r>
  </si>
  <si>
    <r>
      <rPr>
        <b/>
        <sz val="12"/>
        <rFont val="Cambria"/>
        <family val="1"/>
      </rPr>
      <t xml:space="preserve">Add: Discharges of un-discharged liabilities, corresponding to admitted assets/works (as per
</t>
    </r>
    <r>
      <rPr>
        <b/>
        <sz val="12"/>
        <rFont val="Cambria"/>
        <family val="1"/>
      </rPr>
      <t>IGAAP)</t>
    </r>
  </si>
  <si>
    <r>
      <rPr>
        <b/>
        <sz val="12"/>
        <rFont val="Cambria"/>
        <family val="1"/>
      </rPr>
      <t xml:space="preserve">Net Additional Capital Expenditure Claimed (on
</t>
    </r>
    <r>
      <rPr>
        <b/>
        <sz val="12"/>
        <rFont val="Cambria"/>
        <family val="1"/>
      </rPr>
      <t>cash basis)</t>
    </r>
  </si>
  <si>
    <r>
      <rPr>
        <b/>
        <sz val="12"/>
        <rFont val="Cambria"/>
        <family val="1"/>
      </rPr>
      <t xml:space="preserve">Note: </t>
    </r>
    <r>
      <rPr>
        <sz val="12"/>
        <rFont val="Cambria"/>
        <family val="1"/>
      </rPr>
      <t xml:space="preserve">(1) Form is to be certified by the Auditor and Certificate issued as per the guidelines prescribed by their governing body.
</t>
    </r>
    <r>
      <rPr>
        <sz val="12"/>
        <rFont val="Cambria"/>
        <family val="1"/>
      </rPr>
      <t>(2)  Reason for exclusion of any expenditure shall be given in Clear terms. *Break-up to be specified.</t>
    </r>
  </si>
  <si>
    <r>
      <rPr>
        <b/>
        <sz val="12"/>
        <rFont val="Cambria"/>
        <family val="1"/>
      </rPr>
      <t>Statement showing items/assets/works claimed under Exclusions</t>
    </r>
    <r>
      <rPr>
        <sz val="12"/>
        <rFont val="Cambria"/>
        <family val="1"/>
      </rPr>
      <t>:</t>
    </r>
  </si>
  <si>
    <r>
      <rPr>
        <b/>
        <sz val="12"/>
        <rFont val="Cambria"/>
        <family val="1"/>
      </rPr>
      <t>PART 1 FORM- K</t>
    </r>
  </si>
  <si>
    <r>
      <rPr>
        <b/>
        <sz val="12"/>
        <rFont val="Cambria"/>
        <family val="1"/>
      </rPr>
      <t xml:space="preserve">Name of the Generating Station
</t>
    </r>
    <r>
      <rPr>
        <b/>
        <sz val="12"/>
        <rFont val="Cambria"/>
        <family val="1"/>
      </rPr>
      <t>COD</t>
    </r>
  </si>
  <si>
    <r>
      <rPr>
        <b/>
        <sz val="12"/>
        <rFont val="Cambria"/>
        <family val="1"/>
      </rPr>
      <t>Head of Work / Equipment</t>
    </r>
  </si>
  <si>
    <r>
      <rPr>
        <b/>
        <sz val="12"/>
        <rFont val="Cambria"/>
        <family val="1"/>
      </rPr>
      <t>ACE Claimed under Exclusion</t>
    </r>
  </si>
  <si>
    <r>
      <rPr>
        <b/>
        <sz val="12"/>
        <rFont val="Cambria"/>
        <family val="1"/>
      </rPr>
      <t xml:space="preserve">Un- discharged Liability included in
</t>
    </r>
    <r>
      <rPr>
        <b/>
        <sz val="12"/>
        <rFont val="Cambria"/>
        <family val="1"/>
      </rPr>
      <t>col. 3</t>
    </r>
  </si>
  <si>
    <r>
      <rPr>
        <b/>
        <sz val="12"/>
        <rFont val="Cambria"/>
        <family val="1"/>
      </rPr>
      <t>IDC included in col. 3</t>
    </r>
  </si>
  <si>
    <r>
      <rPr>
        <b/>
        <sz val="12"/>
        <rFont val="Cambria"/>
        <family val="1"/>
      </rPr>
      <t>(5 = 3 – 4)</t>
    </r>
  </si>
  <si>
    <r>
      <rPr>
        <b/>
        <sz val="12"/>
        <rFont val="Cambria"/>
        <family val="1"/>
      </rPr>
      <t xml:space="preserve">Note: </t>
    </r>
    <r>
      <rPr>
        <sz val="12"/>
        <rFont val="Cambria"/>
        <family val="1"/>
      </rPr>
      <t xml:space="preserve">1. Exclusions claimed on assets not allowed in Tariff should be supported by the specific reference of Commission Order date, Petition No., amount disallowed, etc.
</t>
    </r>
    <r>
      <rPr>
        <sz val="12"/>
        <rFont val="Cambria"/>
        <family val="1"/>
      </rPr>
      <t xml:space="preserve">2. For inter unit transfer, nature of transfer i.e. temporary or permanent should be mentioned. It is to be certified that exclusion
</t>
    </r>
    <r>
      <rPr>
        <sz val="12"/>
        <rFont val="Cambria"/>
        <family val="1"/>
      </rPr>
      <t>sought in receiving station only and not in sending station or in both the station.</t>
    </r>
  </si>
  <si>
    <r>
      <rPr>
        <b/>
        <u val="single"/>
        <sz val="12"/>
        <rFont val="Cambria"/>
        <family val="1"/>
      </rPr>
      <t xml:space="preserve">Statement of Capital cost
</t>
    </r>
    <r>
      <rPr>
        <sz val="12"/>
        <rFont val="Cambria"/>
        <family val="1"/>
      </rPr>
      <t>(To be given for relevant dates and year wise)</t>
    </r>
  </si>
  <si>
    <r>
      <rPr>
        <b/>
        <sz val="12"/>
        <rFont val="Cambria"/>
        <family val="1"/>
      </rPr>
      <t xml:space="preserve">PART 1
</t>
    </r>
    <r>
      <rPr>
        <b/>
        <sz val="12"/>
        <rFont val="Cambria"/>
        <family val="1"/>
      </rPr>
      <t>FORM- L</t>
    </r>
  </si>
  <si>
    <r>
      <rPr>
        <b/>
        <sz val="12"/>
        <rFont val="Cambria"/>
        <family val="1"/>
      </rPr>
      <t>As on relevant date</t>
    </r>
  </si>
  <si>
    <r>
      <rPr>
        <b/>
        <sz val="12"/>
        <rFont val="Cambria"/>
        <family val="1"/>
      </rPr>
      <t xml:space="preserve">Accrual
</t>
    </r>
    <r>
      <rPr>
        <b/>
        <sz val="12"/>
        <rFont val="Cambria"/>
        <family val="1"/>
      </rPr>
      <t>Basis</t>
    </r>
  </si>
  <si>
    <r>
      <rPr>
        <b/>
        <sz val="12"/>
        <rFont val="Cambria"/>
        <family val="1"/>
      </rPr>
      <t xml:space="preserve">Un-discharged
</t>
    </r>
    <r>
      <rPr>
        <b/>
        <sz val="12"/>
        <rFont val="Cambria"/>
        <family val="1"/>
      </rPr>
      <t>Liabilities</t>
    </r>
  </si>
  <si>
    <r>
      <rPr>
        <b/>
        <sz val="12"/>
        <rFont val="Cambria"/>
        <family val="1"/>
      </rPr>
      <t>Cash Basis</t>
    </r>
  </si>
  <si>
    <r>
      <rPr>
        <sz val="12"/>
        <rFont val="Cambria"/>
        <family val="1"/>
      </rPr>
      <t>A</t>
    </r>
  </si>
  <si>
    <r>
      <rPr>
        <sz val="12"/>
        <rFont val="Cambria"/>
        <family val="1"/>
      </rPr>
      <t>a) Opening Gross Block Amount as per books</t>
    </r>
  </si>
  <si>
    <r>
      <rPr>
        <sz val="12"/>
        <rFont val="Cambria"/>
        <family val="1"/>
      </rPr>
      <t>b) Amount of IDC in A(a) above</t>
    </r>
  </si>
  <si>
    <r>
      <rPr>
        <sz val="12"/>
        <rFont val="Cambria"/>
        <family val="1"/>
      </rPr>
      <t>c) Amount of FC in A(a) above</t>
    </r>
  </si>
  <si>
    <r>
      <rPr>
        <sz val="12"/>
        <rFont val="Cambria"/>
        <family val="1"/>
      </rPr>
      <t>d) Amount of FERV in A(a) above</t>
    </r>
  </si>
  <si>
    <r>
      <rPr>
        <sz val="12"/>
        <rFont val="Cambria"/>
        <family val="1"/>
      </rPr>
      <t>e) Amount of Hedging Cost in A(a) above</t>
    </r>
  </si>
  <si>
    <r>
      <rPr>
        <sz val="12"/>
        <rFont val="Cambria"/>
        <family val="1"/>
      </rPr>
      <t>f) Amount of IEDC in A(a) above</t>
    </r>
  </si>
  <si>
    <r>
      <rPr>
        <sz val="12"/>
        <rFont val="Cambria"/>
        <family val="1"/>
      </rPr>
      <t xml:space="preserve">a) Addition in Gross Block Amount during the period
</t>
    </r>
    <r>
      <rPr>
        <sz val="12"/>
        <rFont val="Cambria"/>
        <family val="1"/>
      </rPr>
      <t>(Direct purchases)</t>
    </r>
  </si>
  <si>
    <r>
      <rPr>
        <sz val="12"/>
        <rFont val="Cambria"/>
        <family val="1"/>
      </rPr>
      <t>b) Amount of IDC in B(a) above</t>
    </r>
  </si>
  <si>
    <r>
      <rPr>
        <sz val="12"/>
        <rFont val="Cambria"/>
        <family val="1"/>
      </rPr>
      <t>c) Amount of FC in B(a) above</t>
    </r>
  </si>
  <si>
    <r>
      <rPr>
        <sz val="12"/>
        <rFont val="Cambria"/>
        <family val="1"/>
      </rPr>
      <t>d) Amount of FERV in B(a) above</t>
    </r>
  </si>
  <si>
    <r>
      <rPr>
        <sz val="12"/>
        <rFont val="Cambria"/>
        <family val="1"/>
      </rPr>
      <t>e) Amount of Hedging Cost in B(a) above</t>
    </r>
  </si>
  <si>
    <r>
      <rPr>
        <sz val="12"/>
        <rFont val="Cambria"/>
        <family val="1"/>
      </rPr>
      <t>f) Amount of IEDC in B(a) above</t>
    </r>
  </si>
  <si>
    <r>
      <rPr>
        <sz val="12"/>
        <rFont val="Cambria"/>
        <family val="1"/>
      </rPr>
      <t>C</t>
    </r>
  </si>
  <si>
    <r>
      <rPr>
        <sz val="12"/>
        <rFont val="Cambria"/>
        <family val="1"/>
      </rPr>
      <t xml:space="preserve">a) Addition in Gross Block Amount during the period
</t>
    </r>
    <r>
      <rPr>
        <sz val="12"/>
        <rFont val="Cambria"/>
        <family val="1"/>
      </rPr>
      <t>(Transferred from CWIP)</t>
    </r>
  </si>
  <si>
    <r>
      <rPr>
        <sz val="12"/>
        <rFont val="Cambria"/>
        <family val="1"/>
      </rPr>
      <t>b) Amount of IDC in C(a) above</t>
    </r>
  </si>
  <si>
    <r>
      <rPr>
        <sz val="12"/>
        <rFont val="Cambria"/>
        <family val="1"/>
      </rPr>
      <t>c) Amount of FC in C(a) above</t>
    </r>
  </si>
  <si>
    <r>
      <rPr>
        <sz val="12"/>
        <rFont val="Cambria"/>
        <family val="1"/>
      </rPr>
      <t>d) Amount of FERV in C(a) above</t>
    </r>
  </si>
  <si>
    <r>
      <rPr>
        <sz val="12"/>
        <rFont val="Cambria"/>
        <family val="1"/>
      </rPr>
      <t>e) Amount of Hedging Cost in C(a) above</t>
    </r>
  </si>
  <si>
    <r>
      <rPr>
        <sz val="12"/>
        <rFont val="Cambria"/>
        <family val="1"/>
      </rPr>
      <t>f) Amount of IEDC in C(a) above</t>
    </r>
  </si>
  <si>
    <r>
      <rPr>
        <sz val="12"/>
        <rFont val="Cambria"/>
        <family val="1"/>
      </rPr>
      <t>D</t>
    </r>
  </si>
  <si>
    <r>
      <rPr>
        <sz val="12"/>
        <rFont val="Cambria"/>
        <family val="1"/>
      </rPr>
      <t>a) Deletion in Gross Block Amount during the period</t>
    </r>
  </si>
  <si>
    <r>
      <rPr>
        <sz val="12"/>
        <rFont val="Cambria"/>
        <family val="1"/>
      </rPr>
      <t>b) Amount of IDC in D(a) above</t>
    </r>
  </si>
  <si>
    <r>
      <rPr>
        <sz val="12"/>
        <rFont val="Cambria"/>
        <family val="1"/>
      </rPr>
      <t>c) Amount of FC in D(a) above</t>
    </r>
  </si>
  <si>
    <r>
      <rPr>
        <sz val="12"/>
        <rFont val="Cambria"/>
        <family val="1"/>
      </rPr>
      <t>d) Amount of FERV in D(a) above</t>
    </r>
  </si>
  <si>
    <r>
      <rPr>
        <sz val="12"/>
        <rFont val="Cambria"/>
        <family val="1"/>
      </rPr>
      <t>e) Amount of Hedging Cost in D(a) above</t>
    </r>
  </si>
  <si>
    <r>
      <rPr>
        <sz val="12"/>
        <rFont val="Cambria"/>
        <family val="1"/>
      </rPr>
      <t>f) Amount of IEDC in D(a) above</t>
    </r>
  </si>
  <si>
    <r>
      <rPr>
        <sz val="12"/>
        <rFont val="Cambria"/>
        <family val="1"/>
      </rPr>
      <t>E</t>
    </r>
  </si>
  <si>
    <r>
      <rPr>
        <sz val="12"/>
        <rFont val="Cambria"/>
        <family val="1"/>
      </rPr>
      <t>a) Closing Gross Block Amount as per books</t>
    </r>
  </si>
  <si>
    <r>
      <rPr>
        <sz val="12"/>
        <rFont val="Cambria"/>
        <family val="1"/>
      </rPr>
      <t>b) Amount of IDC in E(a) above</t>
    </r>
  </si>
  <si>
    <r>
      <rPr>
        <sz val="12"/>
        <rFont val="Cambria"/>
        <family val="1"/>
      </rPr>
      <t>c) Amount of FC in E(a) above</t>
    </r>
  </si>
  <si>
    <r>
      <rPr>
        <sz val="12"/>
        <rFont val="Cambria"/>
        <family val="1"/>
      </rPr>
      <t>d) Amount of FERV in E(a) above</t>
    </r>
  </si>
  <si>
    <r>
      <rPr>
        <sz val="12"/>
        <rFont val="Cambria"/>
        <family val="1"/>
      </rPr>
      <t>e) Amount of Hedging Cost in E(a) above</t>
    </r>
  </si>
  <si>
    <r>
      <rPr>
        <sz val="12"/>
        <rFont val="Cambria"/>
        <family val="1"/>
      </rPr>
      <t>f) Amount of IEDC in E(a) above</t>
    </r>
  </si>
  <si>
    <r>
      <rPr>
        <b/>
        <sz val="12"/>
        <rFont val="Cambria"/>
        <family val="1"/>
      </rPr>
      <t xml:space="preserve">Note:
</t>
    </r>
    <r>
      <rPr>
        <sz val="12"/>
        <rFont val="Cambria"/>
        <family val="1"/>
      </rPr>
      <t>1. Relevant date/s means date of COD of unit/s/station and financial year start date and end date</t>
    </r>
  </si>
  <si>
    <r>
      <rPr>
        <b/>
        <u val="single"/>
        <sz val="12"/>
        <rFont val="Cambria"/>
        <family val="1"/>
      </rPr>
      <t xml:space="preserve">Statement of Capital Woks in Progress
</t>
    </r>
    <r>
      <rPr>
        <sz val="12"/>
        <rFont val="Cambria"/>
        <family val="1"/>
      </rPr>
      <t>(To be given for relevant dates and year wise)</t>
    </r>
  </si>
  <si>
    <r>
      <rPr>
        <b/>
        <sz val="12"/>
        <rFont val="Cambria"/>
        <family val="1"/>
      </rPr>
      <t>PART 1 FORM- M</t>
    </r>
  </si>
  <si>
    <r>
      <rPr>
        <sz val="12"/>
        <rFont val="Cambria"/>
        <family val="1"/>
      </rPr>
      <t>a) Opening CWIP as per books</t>
    </r>
  </si>
  <si>
    <r>
      <rPr>
        <sz val="12"/>
        <rFont val="Cambria"/>
        <family val="1"/>
      </rPr>
      <t>a) Addition in CWIP during the period</t>
    </r>
  </si>
  <si>
    <r>
      <rPr>
        <sz val="12"/>
        <rFont val="Cambria"/>
        <family val="1"/>
      </rPr>
      <t>a) Transferred to Gross Block Amount during the period</t>
    </r>
  </si>
  <si>
    <r>
      <rPr>
        <sz val="12"/>
        <rFont val="Cambria"/>
        <family val="1"/>
      </rPr>
      <t>a) Deletion in CWIP during the period</t>
    </r>
  </si>
  <si>
    <r>
      <rPr>
        <sz val="12"/>
        <rFont val="Cambria"/>
        <family val="1"/>
      </rPr>
      <t>a) Closing CWIP as per books</t>
    </r>
  </si>
  <si>
    <r>
      <rPr>
        <b/>
        <u val="single"/>
        <sz val="12"/>
        <rFont val="Cambria"/>
        <family val="1"/>
      </rPr>
      <t>Calculation of Interest on Normative Loan</t>
    </r>
  </si>
  <si>
    <r>
      <rPr>
        <b/>
        <sz val="12"/>
        <rFont val="Cambria"/>
        <family val="1"/>
      </rPr>
      <t>PART 1 FORM- N</t>
    </r>
  </si>
  <si>
    <r>
      <rPr>
        <sz val="12"/>
        <rFont val="Cambria"/>
        <family val="1"/>
      </rPr>
      <t>Gross Normative loan – Opening</t>
    </r>
  </si>
  <si>
    <r>
      <rPr>
        <sz val="12"/>
        <rFont val="Cambria"/>
        <family val="1"/>
      </rPr>
      <t xml:space="preserve">Cumulative repayment of Normative
</t>
    </r>
    <r>
      <rPr>
        <sz val="12"/>
        <rFont val="Cambria"/>
        <family val="1"/>
      </rPr>
      <t>loan up to previous year</t>
    </r>
  </si>
  <si>
    <r>
      <rPr>
        <b/>
        <sz val="12"/>
        <rFont val="Cambria"/>
        <family val="1"/>
      </rPr>
      <t>Net Normative loan – Opening</t>
    </r>
  </si>
  <si>
    <r>
      <rPr>
        <sz val="12"/>
        <rFont val="Cambria"/>
        <family val="1"/>
      </rPr>
      <t xml:space="preserve">Add: Increase due to addition during
</t>
    </r>
    <r>
      <rPr>
        <sz val="12"/>
        <rFont val="Cambria"/>
        <family val="1"/>
      </rPr>
      <t>the year / period</t>
    </r>
  </si>
  <si>
    <r>
      <rPr>
        <sz val="12"/>
        <rFont val="Cambria"/>
        <family val="1"/>
      </rPr>
      <t xml:space="preserve">Less: Decrease due to de-capitalisation
</t>
    </r>
    <r>
      <rPr>
        <sz val="12"/>
        <rFont val="Cambria"/>
        <family val="1"/>
      </rPr>
      <t>during the year / period</t>
    </r>
  </si>
  <si>
    <r>
      <rPr>
        <sz val="12"/>
        <rFont val="Cambria"/>
        <family val="1"/>
      </rPr>
      <t xml:space="preserve">Less: Decrease due to reversal during
</t>
    </r>
    <r>
      <rPr>
        <sz val="12"/>
        <rFont val="Cambria"/>
        <family val="1"/>
      </rPr>
      <t>the year / period</t>
    </r>
  </si>
  <si>
    <r>
      <rPr>
        <sz val="12"/>
        <rFont val="Cambria"/>
        <family val="1"/>
      </rPr>
      <t xml:space="preserve">Add: Increase due to discharges during
</t>
    </r>
    <r>
      <rPr>
        <sz val="12"/>
        <rFont val="Cambria"/>
        <family val="1"/>
      </rPr>
      <t>the year / period</t>
    </r>
  </si>
  <si>
    <r>
      <rPr>
        <b/>
        <sz val="12"/>
        <rFont val="Cambria"/>
        <family val="1"/>
      </rPr>
      <t>Net Normative loan - Closing</t>
    </r>
  </si>
  <si>
    <r>
      <rPr>
        <b/>
        <sz val="12"/>
        <rFont val="Cambria"/>
        <family val="1"/>
      </rPr>
      <t>Average Normative loan</t>
    </r>
  </si>
  <si>
    <r>
      <rPr>
        <sz val="12"/>
        <rFont val="Cambria"/>
        <family val="1"/>
      </rPr>
      <t>Weighted average rate of interest</t>
    </r>
  </si>
  <si>
    <r>
      <rPr>
        <b/>
        <sz val="12"/>
        <rFont val="Cambria"/>
        <family val="1"/>
      </rPr>
      <t>Interest on Loan</t>
    </r>
  </si>
  <si>
    <r>
      <rPr>
        <b/>
        <u val="single"/>
        <sz val="12"/>
        <rFont val="Cambria"/>
        <family val="1"/>
      </rPr>
      <t>Calculation of Interest on Working Capital</t>
    </r>
  </si>
  <si>
    <r>
      <rPr>
        <b/>
        <sz val="12"/>
        <rFont val="Cambria"/>
        <family val="1"/>
      </rPr>
      <t>PART 1 FORM- O</t>
    </r>
  </si>
  <si>
    <r>
      <rPr>
        <b/>
        <sz val="12"/>
        <rFont val="Cambria"/>
        <family val="1"/>
      </rPr>
      <t>Existing 2018-19</t>
    </r>
  </si>
  <si>
    <r>
      <rPr>
        <sz val="12"/>
        <rFont val="Cambria"/>
        <family val="1"/>
      </rPr>
      <t>Cost of Coal/Lignite</t>
    </r>
    <r>
      <rPr>
        <vertAlign val="superscript"/>
        <sz val="8"/>
        <rFont val="Cambria"/>
        <family val="1"/>
      </rPr>
      <t>1</t>
    </r>
  </si>
  <si>
    <r>
      <rPr>
        <sz val="12"/>
        <rFont val="Cambria"/>
        <family val="1"/>
      </rPr>
      <t xml:space="preserve">Cost of Main Secondary Fuel
</t>
    </r>
    <r>
      <rPr>
        <sz val="12"/>
        <rFont val="Cambria"/>
        <family val="1"/>
      </rPr>
      <t>Oil</t>
    </r>
    <r>
      <rPr>
        <vertAlign val="superscript"/>
        <sz val="8"/>
        <rFont val="Cambria"/>
        <family val="1"/>
      </rPr>
      <t>1</t>
    </r>
  </si>
  <si>
    <r>
      <rPr>
        <sz val="12"/>
        <rFont val="Cambria"/>
        <family val="1"/>
      </rPr>
      <t>Fuel Cost</t>
    </r>
    <r>
      <rPr>
        <vertAlign val="superscript"/>
        <sz val="8"/>
        <rFont val="Cambria"/>
        <family val="1"/>
      </rPr>
      <t>2</t>
    </r>
  </si>
  <si>
    <r>
      <rPr>
        <sz val="12"/>
        <rFont val="Cambria"/>
        <family val="1"/>
      </rPr>
      <t>Liquid Fuel Stock</t>
    </r>
    <r>
      <rPr>
        <vertAlign val="superscript"/>
        <sz val="8"/>
        <rFont val="Cambria"/>
        <family val="1"/>
      </rPr>
      <t>2</t>
    </r>
  </si>
  <si>
    <r>
      <rPr>
        <sz val="12"/>
        <rFont val="Cambria"/>
        <family val="1"/>
      </rPr>
      <t>O &amp; M Expenses</t>
    </r>
  </si>
  <si>
    <r>
      <rPr>
        <sz val="12"/>
        <rFont val="Cambria"/>
        <family val="1"/>
      </rPr>
      <t>Maintenance Spares</t>
    </r>
  </si>
  <si>
    <r>
      <rPr>
        <sz val="12"/>
        <rFont val="Cambria"/>
        <family val="1"/>
      </rPr>
      <t>Receivables</t>
    </r>
  </si>
  <si>
    <r>
      <rPr>
        <sz val="12"/>
        <rFont val="Cambria"/>
        <family val="1"/>
      </rPr>
      <t>Total Working Capital</t>
    </r>
  </si>
  <si>
    <r>
      <rPr>
        <sz val="12"/>
        <rFont val="Cambria"/>
        <family val="1"/>
      </rPr>
      <t>Rate of Interest</t>
    </r>
  </si>
  <si>
    <r>
      <rPr>
        <b/>
        <sz val="12"/>
        <rFont val="Cambria"/>
        <family val="1"/>
      </rPr>
      <t xml:space="preserve">Note:
</t>
    </r>
    <r>
      <rPr>
        <sz val="12"/>
        <rFont val="Cambria"/>
        <family val="1"/>
      </rPr>
      <t xml:space="preserve">1. For Coal based/Lignite based generating stations
</t>
    </r>
    <r>
      <rPr>
        <sz val="12"/>
        <rFont val="Cambria"/>
        <family val="1"/>
      </rPr>
      <t>2. For Gas Turbine/Combined Cycle generating stations duly taking into account the annual mode of operation (last available) on gas fuel and liquid fuel</t>
    </r>
  </si>
  <si>
    <r>
      <rPr>
        <b/>
        <u val="single"/>
        <sz val="12"/>
        <rFont val="Cambria"/>
        <family val="1"/>
      </rPr>
      <t>Incidental Expenditure up to SCOD and up to Actual/anticipated COD</t>
    </r>
  </si>
  <si>
    <r>
      <rPr>
        <b/>
        <sz val="12"/>
        <rFont val="Cambria"/>
        <family val="1"/>
      </rPr>
      <t>PART 1 FORM- P</t>
    </r>
  </si>
  <si>
    <r>
      <rPr>
        <b/>
        <sz val="12"/>
        <rFont val="Cambria"/>
        <family val="1"/>
      </rPr>
      <t>As on Scheduled COD</t>
    </r>
  </si>
  <si>
    <r>
      <rPr>
        <b/>
        <sz val="12"/>
        <rFont val="Cambria"/>
        <family val="1"/>
      </rPr>
      <t>As on actual COD/anticipated COD</t>
    </r>
  </si>
  <si>
    <r>
      <rPr>
        <sz val="12"/>
        <rFont val="Cambria"/>
        <family val="1"/>
      </rPr>
      <t>Head of Expenses:</t>
    </r>
  </si>
  <si>
    <r>
      <rPr>
        <sz val="12"/>
        <rFont val="Cambria"/>
        <family val="1"/>
      </rPr>
      <t>Employees' Benefits Expenses</t>
    </r>
  </si>
  <si>
    <r>
      <rPr>
        <sz val="12"/>
        <rFont val="Cambria"/>
        <family val="1"/>
      </rPr>
      <t>Finance Costs</t>
    </r>
  </si>
  <si>
    <r>
      <rPr>
        <sz val="12"/>
        <rFont val="Cambria"/>
        <family val="1"/>
      </rPr>
      <t>Water Charges</t>
    </r>
  </si>
  <si>
    <r>
      <rPr>
        <sz val="12"/>
        <rFont val="Cambria"/>
        <family val="1"/>
      </rPr>
      <t>Communication Expenses</t>
    </r>
  </si>
  <si>
    <r>
      <rPr>
        <sz val="12"/>
        <rFont val="Cambria"/>
        <family val="1"/>
      </rPr>
      <t>Power Charges</t>
    </r>
  </si>
  <si>
    <r>
      <rPr>
        <sz val="12"/>
        <rFont val="Cambria"/>
        <family val="1"/>
      </rPr>
      <t xml:space="preserve">Other Office and
</t>
    </r>
    <r>
      <rPr>
        <sz val="12"/>
        <rFont val="Cambria"/>
        <family val="1"/>
      </rPr>
      <t>Administrative Expenses</t>
    </r>
  </si>
  <si>
    <r>
      <rPr>
        <sz val="12"/>
        <rFont val="Cambria"/>
        <family val="1"/>
      </rPr>
      <t>Others (Please Specify Details)</t>
    </r>
  </si>
  <si>
    <r>
      <rPr>
        <sz val="12"/>
        <rFont val="Cambria"/>
        <family val="1"/>
      </rPr>
      <t>Other Pre-Operating Expenses</t>
    </r>
  </si>
  <si>
    <r>
      <rPr>
        <sz val="12"/>
        <rFont val="Cambria"/>
        <family val="1"/>
      </rPr>
      <t>……</t>
    </r>
  </si>
  <si>
    <r>
      <rPr>
        <sz val="12"/>
        <rFont val="Cambria"/>
        <family val="1"/>
      </rPr>
      <t>Total Expenses</t>
    </r>
  </si>
  <si>
    <r>
      <rPr>
        <sz val="12"/>
        <rFont val="Cambria"/>
        <family val="1"/>
      </rPr>
      <t xml:space="preserve">Less: Income from sale of
</t>
    </r>
    <r>
      <rPr>
        <sz val="12"/>
        <rFont val="Cambria"/>
        <family val="1"/>
      </rPr>
      <t>tenders</t>
    </r>
  </si>
  <si>
    <r>
      <rPr>
        <sz val="12"/>
        <rFont val="Cambria"/>
        <family val="1"/>
      </rPr>
      <t>Less: Income from guest house</t>
    </r>
  </si>
  <si>
    <r>
      <rPr>
        <sz val="12"/>
        <rFont val="Cambria"/>
        <family val="1"/>
      </rPr>
      <t xml:space="preserve">Less: Income recovered from
</t>
    </r>
    <r>
      <rPr>
        <sz val="12"/>
        <rFont val="Cambria"/>
        <family val="1"/>
      </rPr>
      <t>Contractors</t>
    </r>
  </si>
  <si>
    <r>
      <rPr>
        <sz val="12"/>
        <rFont val="Cambria"/>
        <family val="1"/>
      </rPr>
      <t>Less: Interest on Deposits</t>
    </r>
  </si>
  <si>
    <r>
      <rPr>
        <sz val="12"/>
        <rFont val="Cambria"/>
        <family val="1"/>
      </rPr>
      <t>…..</t>
    </r>
  </si>
  <si>
    <r>
      <rPr>
        <b/>
        <sz val="12"/>
        <rFont val="Cambria"/>
        <family val="1"/>
      </rPr>
      <t>PART 1 FORM- Q</t>
    </r>
  </si>
  <si>
    <r>
      <rPr>
        <b/>
        <u val="single"/>
        <sz val="12"/>
        <rFont val="Cambria"/>
        <family val="1"/>
      </rPr>
      <t>Expenditure under different packages up to SCOD and up to Actual/anticipated COD</t>
    </r>
  </si>
  <si>
    <r>
      <rPr>
        <b/>
        <sz val="12"/>
        <rFont val="Cambria"/>
        <family val="1"/>
      </rPr>
      <t xml:space="preserve">As on
</t>
    </r>
    <r>
      <rPr>
        <b/>
        <sz val="12"/>
        <rFont val="Cambria"/>
        <family val="1"/>
      </rPr>
      <t>Scheduled COD</t>
    </r>
  </si>
  <si>
    <r>
      <rPr>
        <b/>
        <sz val="12"/>
        <rFont val="Cambria"/>
        <family val="1"/>
      </rPr>
      <t xml:space="preserve">As on actual/anticipated
</t>
    </r>
    <r>
      <rPr>
        <b/>
        <sz val="12"/>
        <rFont val="Cambria"/>
        <family val="1"/>
      </rPr>
      <t>COD</t>
    </r>
  </si>
  <si>
    <r>
      <rPr>
        <sz val="12"/>
        <rFont val="Cambria"/>
        <family val="1"/>
      </rPr>
      <t>Package 1</t>
    </r>
  </si>
  <si>
    <r>
      <rPr>
        <sz val="12"/>
        <rFont val="Cambria"/>
        <family val="1"/>
      </rPr>
      <t>Package 2</t>
    </r>
  </si>
  <si>
    <r>
      <rPr>
        <sz val="12"/>
        <rFont val="Cambria"/>
        <family val="1"/>
      </rPr>
      <t>Package 3</t>
    </r>
  </si>
  <si>
    <r>
      <rPr>
        <b/>
        <u val="single"/>
        <sz val="12"/>
        <rFont val="Cambria"/>
        <family val="1"/>
      </rPr>
      <t>Actual cash expenditure</t>
    </r>
  </si>
  <si>
    <r>
      <rPr>
        <b/>
        <sz val="12"/>
        <rFont val="Cambria"/>
        <family val="1"/>
      </rPr>
      <t>PART 1 FORM- R</t>
    </r>
  </si>
  <si>
    <r>
      <rPr>
        <b/>
        <sz val="12"/>
        <rFont val="Cambria"/>
        <family val="1"/>
      </rPr>
      <t>Quarter-I</t>
    </r>
  </si>
  <si>
    <r>
      <rPr>
        <b/>
        <sz val="12"/>
        <rFont val="Cambria"/>
        <family val="1"/>
      </rPr>
      <t>Quarter-II</t>
    </r>
  </si>
  <si>
    <r>
      <rPr>
        <b/>
        <sz val="12"/>
        <rFont val="Cambria"/>
        <family val="1"/>
      </rPr>
      <t>Quarter-III</t>
    </r>
  </si>
  <si>
    <r>
      <rPr>
        <b/>
        <sz val="12"/>
        <rFont val="Cambria"/>
        <family val="1"/>
      </rPr>
      <t xml:space="preserve">Quarter-n /
</t>
    </r>
    <r>
      <rPr>
        <b/>
        <sz val="12"/>
        <rFont val="Cambria"/>
        <family val="1"/>
      </rPr>
      <t>DOCO</t>
    </r>
  </si>
  <si>
    <r>
      <rPr>
        <sz val="12"/>
        <rFont val="Cambria"/>
        <family val="1"/>
      </rPr>
      <t>Expenditure towards Gross Block</t>
    </r>
  </si>
  <si>
    <r>
      <rPr>
        <sz val="12"/>
        <rFont val="Cambria"/>
        <family val="1"/>
      </rPr>
      <t>Add: Expenditure towards CWIP</t>
    </r>
  </si>
  <si>
    <r>
      <rPr>
        <sz val="12"/>
        <rFont val="Cambria"/>
        <family val="1"/>
      </rPr>
      <t>Add: Capital Advances, if any</t>
    </r>
  </si>
  <si>
    <r>
      <rPr>
        <sz val="12"/>
        <rFont val="Cambria"/>
        <family val="1"/>
      </rPr>
      <t>Less: Un-discharged liabilities (included above)</t>
    </r>
  </si>
  <si>
    <r>
      <rPr>
        <sz val="12"/>
        <rFont val="Cambria"/>
        <family val="1"/>
      </rPr>
      <t>Add/Less: Others</t>
    </r>
  </si>
  <si>
    <r>
      <rPr>
        <b/>
        <sz val="12"/>
        <rFont val="Cambria"/>
        <family val="1"/>
      </rPr>
      <t>Payment to contractors / suppliers towards capital assets</t>
    </r>
  </si>
  <si>
    <r>
      <rPr>
        <b/>
        <sz val="12"/>
        <rFont val="Cambria"/>
        <family val="1"/>
      </rPr>
      <t>Cumulative payments</t>
    </r>
  </si>
  <si>
    <r>
      <rPr>
        <sz val="12"/>
        <rFont val="Cambria"/>
        <family val="1"/>
      </rPr>
      <t>Note: If there is variation between payment and fund deployment justification need to be furnished</t>
    </r>
  </si>
  <si>
    <r>
      <rPr>
        <b/>
        <sz val="12"/>
        <rFont val="Cambria"/>
        <family val="1"/>
      </rPr>
      <t>Statement of Liability Flow</t>
    </r>
  </si>
  <si>
    <r>
      <rPr>
        <b/>
        <sz val="12"/>
        <rFont val="Cambria"/>
        <family val="1"/>
      </rPr>
      <t xml:space="preserve">PART 1
</t>
    </r>
    <r>
      <rPr>
        <b/>
        <sz val="12"/>
        <rFont val="Cambria"/>
        <family val="1"/>
      </rPr>
      <t>FORM- S</t>
    </r>
  </si>
  <si>
    <r>
      <rPr>
        <b/>
        <sz val="12"/>
        <rFont val="Cambria"/>
        <family val="1"/>
      </rPr>
      <t>Name of the Petitioner                                                 _</t>
    </r>
    <r>
      <rPr>
        <u val="single"/>
        <sz val="12"/>
        <rFont val="Times New Roman"/>
        <family val="1"/>
      </rPr>
      <t xml:space="preserve">                                                                           
</t>
    </r>
    <r>
      <rPr>
        <b/>
        <sz val="12"/>
        <rFont val="Cambria"/>
        <family val="1"/>
      </rPr>
      <t xml:space="preserve">Name of the Generating Station                              </t>
    </r>
    <r>
      <rPr>
        <u val="single"/>
        <sz val="12"/>
        <rFont val="Times New Roman"/>
        <family val="1"/>
      </rPr>
      <t>                                                                             </t>
    </r>
  </si>
  <si>
    <r>
      <rPr>
        <b/>
        <sz val="12"/>
        <rFont val="Cambria"/>
        <family val="1"/>
      </rPr>
      <t>Party</t>
    </r>
  </si>
  <si>
    <r>
      <rPr>
        <b/>
        <sz val="12"/>
        <rFont val="Cambria"/>
        <family val="1"/>
      </rPr>
      <t>Asset / Work</t>
    </r>
  </si>
  <si>
    <r>
      <rPr>
        <b/>
        <sz val="12"/>
        <rFont val="Cambria"/>
        <family val="1"/>
      </rPr>
      <t xml:space="preserve">Year of actual capitalisati
</t>
    </r>
    <r>
      <rPr>
        <b/>
        <sz val="12"/>
        <rFont val="Cambria"/>
        <family val="1"/>
      </rPr>
      <t>on</t>
    </r>
  </si>
  <si>
    <r>
      <rPr>
        <b/>
        <sz val="12"/>
        <rFont val="Cambria"/>
        <family val="1"/>
      </rPr>
      <t>Original Liability</t>
    </r>
  </si>
  <si>
    <r>
      <rPr>
        <b/>
        <sz val="12"/>
        <rFont val="Cambria"/>
        <family val="1"/>
      </rPr>
      <t>Liability as on 31.03.2019</t>
    </r>
  </si>
  <si>
    <r>
      <rPr>
        <b/>
        <sz val="12"/>
        <rFont val="Cambria"/>
        <family val="1"/>
      </rPr>
      <t>Discharges (Year wise)</t>
    </r>
  </si>
  <si>
    <r>
      <rPr>
        <b/>
        <sz val="12"/>
        <rFont val="Cambria"/>
        <family val="1"/>
      </rPr>
      <t>Reversal (Year wise)</t>
    </r>
  </si>
  <si>
    <r>
      <rPr>
        <sz val="12"/>
        <rFont val="Cambria"/>
        <family val="1"/>
      </rPr>
      <t>a) For assets eligible for normal RoE</t>
    </r>
  </si>
  <si>
    <r>
      <rPr>
        <sz val="12"/>
        <rFont val="Cambria"/>
        <family val="1"/>
      </rPr>
      <t>b) For assets eligible for RoE at weightage average rate of interest on loan</t>
    </r>
  </si>
  <si>
    <r>
      <rPr>
        <b/>
        <sz val="12"/>
        <rFont val="Cambria"/>
        <family val="1"/>
      </rPr>
      <t>Summary of issue involved in the petition</t>
    </r>
  </si>
  <si>
    <r>
      <rPr>
        <b/>
        <sz val="12"/>
        <rFont val="Cambria"/>
        <family val="1"/>
      </rPr>
      <t xml:space="preserve">PART 1
</t>
    </r>
    <r>
      <rPr>
        <b/>
        <sz val="12"/>
        <rFont val="Cambria"/>
        <family val="1"/>
      </rPr>
      <t>Form – T</t>
    </r>
  </si>
  <si>
    <r>
      <rPr>
        <b/>
        <sz val="12"/>
        <rFont val="Cambria"/>
        <family val="1"/>
      </rPr>
      <t>Petitioner:</t>
    </r>
  </si>
  <si>
    <r>
      <rPr>
        <b/>
        <sz val="12"/>
        <rFont val="Cambria"/>
        <family val="1"/>
      </rPr>
      <t>Subject</t>
    </r>
  </si>
  <si>
    <r>
      <rPr>
        <b/>
        <sz val="12"/>
        <rFont val="Cambria"/>
        <family val="1"/>
      </rPr>
      <t>Prayer:</t>
    </r>
  </si>
  <si>
    <r>
      <rPr>
        <b/>
        <sz val="12"/>
        <rFont val="Cambria"/>
        <family val="1"/>
      </rPr>
      <t>Respondents</t>
    </r>
  </si>
  <si>
    <r>
      <rPr>
        <b/>
        <sz val="12"/>
        <rFont val="Cambria"/>
        <family val="1"/>
      </rPr>
      <t>Name of Respondents</t>
    </r>
  </si>
  <si>
    <r>
      <rPr>
        <sz val="12"/>
        <rFont val="Cambria"/>
        <family val="1"/>
      </rPr>
      <t>a.</t>
    </r>
  </si>
  <si>
    <r>
      <rPr>
        <sz val="12"/>
        <rFont val="Cambria"/>
        <family val="1"/>
      </rPr>
      <t>b.</t>
    </r>
  </si>
  <si>
    <r>
      <rPr>
        <sz val="12"/>
        <rFont val="Cambria"/>
        <family val="1"/>
      </rPr>
      <t>c.</t>
    </r>
  </si>
  <si>
    <r>
      <rPr>
        <b/>
        <sz val="12"/>
        <rFont val="Cambria"/>
        <family val="1"/>
      </rPr>
      <t>Project Scope</t>
    </r>
  </si>
  <si>
    <r>
      <rPr>
        <b/>
        <sz val="12"/>
        <rFont val="Cambria"/>
        <family val="1"/>
      </rPr>
      <t>Cost</t>
    </r>
  </si>
  <si>
    <r>
      <rPr>
        <b/>
        <sz val="12"/>
        <rFont val="Cambria"/>
        <family val="1"/>
      </rPr>
      <t>Commissioning</t>
    </r>
  </si>
  <si>
    <r>
      <rPr>
        <b/>
        <sz val="12"/>
        <rFont val="Cambria"/>
        <family val="1"/>
      </rPr>
      <t>Claim</t>
    </r>
  </si>
  <si>
    <r>
      <rPr>
        <b/>
        <sz val="12"/>
        <rFont val="Cambria"/>
        <family val="1"/>
      </rPr>
      <t>AFC</t>
    </r>
  </si>
  <si>
    <r>
      <rPr>
        <b/>
        <sz val="12"/>
        <rFont val="Cambria"/>
        <family val="1"/>
      </rPr>
      <t>Capital cost</t>
    </r>
  </si>
  <si>
    <r>
      <rPr>
        <b/>
        <sz val="12"/>
        <rFont val="Cambria"/>
        <family val="1"/>
      </rPr>
      <t>Initial spare</t>
    </r>
  </si>
  <si>
    <r>
      <rPr>
        <b/>
        <sz val="12"/>
        <rFont val="Cambria"/>
        <family val="1"/>
      </rPr>
      <t>NAPAF (Gen)</t>
    </r>
  </si>
  <si>
    <r>
      <rPr>
        <b/>
        <sz val="12"/>
        <rFont val="Cambria"/>
        <family val="1"/>
      </rPr>
      <t>Any Specific</t>
    </r>
  </si>
  <si>
    <t>TARIFF FILING FORMS (THERMAL)</t>
  </si>
  <si>
    <t>FOR DETERMINATION OF TARIFF</t>
  </si>
  <si>
    <t>Main Tariff Form</t>
  </si>
  <si>
    <t>PART-I</t>
  </si>
  <si>
    <t>Annexure-I</t>
  </si>
  <si>
    <t>Form No.</t>
  </si>
  <si>
    <t>Title of Tariff Filing Forms (Thermal)</t>
  </si>
  <si>
    <t>Tick</t>
  </si>
  <si>
    <t>GAS COST</t>
  </si>
  <si>
    <t>ECR</t>
  </si>
  <si>
    <t>AS GIVEN JERC ORDER</t>
  </si>
  <si>
    <t>ENERGY CHARGES = ( GHR*LGP*100)/{GCV*(100-APC)}</t>
  </si>
  <si>
    <t>KCAL/KWH</t>
  </si>
  <si>
    <t>GROSS HEAT RATE =</t>
  </si>
  <si>
    <t>Annual PLF</t>
  </si>
  <si>
    <t>KCAL/SCM</t>
  </si>
  <si>
    <t>=</t>
  </si>
  <si>
    <t>WEIGHTED AVERAGE CALORIFIC VALUE</t>
  </si>
  <si>
    <t>MONTHLY</t>
  </si>
  <si>
    <t>Second FN</t>
  </si>
  <si>
    <t>First FN</t>
  </si>
  <si>
    <t>Mar'21</t>
  </si>
  <si>
    <t>Feb'21</t>
  </si>
  <si>
    <t>Jan'21</t>
  </si>
  <si>
    <t>Dec'20</t>
  </si>
  <si>
    <t>Nov'20</t>
  </si>
  <si>
    <t>Oct'20</t>
  </si>
  <si>
    <t>Sep'20</t>
  </si>
  <si>
    <t>Aug''20</t>
  </si>
  <si>
    <t>July'20</t>
  </si>
  <si>
    <t>June'20</t>
  </si>
  <si>
    <t>May'20</t>
  </si>
  <si>
    <t>April'20</t>
  </si>
  <si>
    <t xml:space="preserve">Excess </t>
  </si>
  <si>
    <t>Normal</t>
  </si>
  <si>
    <t>LOSS DUE TO HEAT RATE</t>
  </si>
  <si>
    <t>TEC2</t>
  </si>
  <si>
    <t>LOSS DUE TO APC</t>
  </si>
  <si>
    <t>TEC1</t>
  </si>
  <si>
    <t>Excess</t>
  </si>
  <si>
    <t>Capacity Charges</t>
  </si>
  <si>
    <t>SOP RAISED</t>
  </si>
  <si>
    <t>days in the month</t>
  </si>
  <si>
    <t>Plant Load Factor</t>
  </si>
  <si>
    <t>DIFF IN FB&amp; EC</t>
  </si>
  <si>
    <t>TOTAL ENERGY CHARGES</t>
  </si>
  <si>
    <t>ENERGY CHARGES</t>
  </si>
  <si>
    <t>FUEL PRICE LGP</t>
  </si>
  <si>
    <t>FUEL BILL</t>
  </si>
  <si>
    <t xml:space="preserve">wt avg GCV </t>
  </si>
  <si>
    <t>PLF</t>
  </si>
  <si>
    <t>GHR</t>
  </si>
  <si>
    <t>APC</t>
  </si>
  <si>
    <t>Ex bus Gen(12Hrs)</t>
  </si>
  <si>
    <t>Aux. Cons (12 Hrs to 12 Hrs)</t>
  </si>
  <si>
    <t>Generation (12 Hrs to 12 Hrs)</t>
  </si>
  <si>
    <t>Wt. Energy (NCV)</t>
  </si>
  <si>
    <t>Wt. Energy (GCV)</t>
  </si>
  <si>
    <t>Vol. of Gas</t>
  </si>
  <si>
    <t>GCV</t>
  </si>
  <si>
    <t>Month</t>
  </si>
  <si>
    <t>Sl. No</t>
  </si>
  <si>
    <t>FORTNIGHTLY DIFFERENCE  BETWEEN ENERGY CHARGES AND FUEL BILL FOR 2019-20</t>
  </si>
  <si>
    <t>APRIL TO OCTOBER ARE ACTUAL FIGURES . NOV'20 TO MARCH'21 FIGURES ARE ESTIMATED ONE</t>
  </si>
  <si>
    <t>Rs 31.73</t>
  </si>
  <si>
    <t xml:space="preserve">Projected </t>
  </si>
  <si>
    <r>
      <t xml:space="preserve">Capacity Charges approved: </t>
    </r>
    <r>
      <rPr>
        <b/>
        <sz val="10"/>
        <rFont val="Arial"/>
        <family val="2"/>
      </rPr>
      <t>Rs 33.17 Crores</t>
    </r>
  </si>
  <si>
    <t>Normative APC</t>
  </si>
  <si>
    <t>2646 Kcal/kwh</t>
  </si>
  <si>
    <t>Normative Heat rate</t>
  </si>
  <si>
    <t>Normative PLF</t>
  </si>
  <si>
    <t>Sept'20</t>
  </si>
  <si>
    <t>Aug'20</t>
  </si>
  <si>
    <t>Sep'17</t>
  </si>
  <si>
    <t>Aug'17</t>
  </si>
  <si>
    <t>CAPACITY CHARGES</t>
  </si>
  <si>
    <t>SOP BILL RAISED PUDUCHERRY ELECTRICITY DEPT</t>
  </si>
  <si>
    <t>DIFF BETWEEN FUEL BILL &amp; ENERGY CHARGES CLAIMED</t>
  </si>
  <si>
    <t xml:space="preserve">ENERGY CHARGES CLAIMED </t>
  </si>
  <si>
    <t xml:space="preserve">FUEL BILL </t>
  </si>
  <si>
    <t>HEAT RATE</t>
  </si>
  <si>
    <t>ACTUAL AUXILAIRY POWER CONSUMPTION IN %</t>
  </si>
  <si>
    <t>ACTUAL AUX POWER CONSUMPTION IN KWH</t>
  </si>
  <si>
    <t>NORMATIVE AUXILIARY POWER CONSUMPTION IN KWH</t>
  </si>
  <si>
    <t>ACTUAL GENERATION</t>
  </si>
  <si>
    <t>GENERATION AT NORMATIVE PLF</t>
  </si>
  <si>
    <t>ACTUAL PLF</t>
  </si>
  <si>
    <t>MONTH</t>
  </si>
  <si>
    <t>SLNO</t>
  </si>
  <si>
    <t xml:space="preserve"> PERFORMANCE REVIEW FOR FY 20-21</t>
  </si>
  <si>
    <t>Repayment for the yr tariff</t>
  </si>
  <si>
    <t>Morotorium in loan</t>
  </si>
  <si>
    <t>Normative Repayment</t>
  </si>
  <si>
    <t>Actual Loan o/s opening</t>
  </si>
  <si>
    <t>Actual Repayment</t>
  </si>
  <si>
    <t>Repayment</t>
  </si>
  <si>
    <t>AAD for the Year</t>
  </si>
  <si>
    <t>AAD Min Annualised</t>
  </si>
  <si>
    <t>AAD Min</t>
  </si>
  <si>
    <t>Cumml Repayment Less Cumml Depre</t>
  </si>
  <si>
    <t>Cummulative Depreciation upto the yr</t>
  </si>
  <si>
    <t>Cummulative Repayment upto the yr</t>
  </si>
  <si>
    <t>Less Depreciation charge for the year</t>
  </si>
  <si>
    <t>Min of the above</t>
  </si>
  <si>
    <t>Repayment cap for deprecit@1/10 of G Loan</t>
  </si>
  <si>
    <t>AAD</t>
  </si>
  <si>
    <t>Depreciation for the year</t>
  </si>
  <si>
    <t>Cap on dep</t>
  </si>
  <si>
    <t>Depreciation for the year @</t>
  </si>
  <si>
    <t>As per actual depreciation recovered</t>
  </si>
  <si>
    <t>Cumml dep + AAD  upto prev year</t>
  </si>
  <si>
    <t>Capital cost excl FH Land</t>
  </si>
  <si>
    <t>Less cost of Freehold Land</t>
  </si>
  <si>
    <t>Capital cost</t>
  </si>
  <si>
    <t>Depreciation</t>
  </si>
  <si>
    <t>%</t>
  </si>
  <si>
    <t>Annualised Interest</t>
  </si>
  <si>
    <t>Interest</t>
  </si>
  <si>
    <t>Average Net Loan</t>
  </si>
  <si>
    <t>Net Loan closing</t>
  </si>
  <si>
    <t>Repayment for the year</t>
  </si>
  <si>
    <t>Addition</t>
  </si>
  <si>
    <t>Net loan opening taken as Zero</t>
  </si>
  <si>
    <t>Net Loan opening</t>
  </si>
  <si>
    <t>As per Regulation,Cumm repayment= actual depreciation, But PPCL have no loan in actual</t>
  </si>
  <si>
    <t>Cummulative Repayment upto prev yr</t>
  </si>
  <si>
    <t>Gross Loan</t>
  </si>
  <si>
    <t>AVG NET LOAN</t>
  </si>
  <si>
    <t>Avg Cap cost to be considered</t>
  </si>
  <si>
    <t>Closing Cap Cost</t>
  </si>
  <si>
    <t>Add Cap during the period</t>
  </si>
  <si>
    <t>Rs/Cr</t>
  </si>
  <si>
    <t>Cap cost considered by CERC order dtd 31.1.08</t>
  </si>
  <si>
    <t>Reduction in IDC due to avg method</t>
  </si>
  <si>
    <t>Undischarged liabilities not allowed by CERC</t>
  </si>
  <si>
    <t xml:space="preserve">Opening Cap cost </t>
  </si>
  <si>
    <t>2012-13</t>
  </si>
  <si>
    <t>2011-12</t>
  </si>
  <si>
    <t>Details of Capital Cost</t>
  </si>
  <si>
    <t>Interest on Working Capital</t>
  </si>
  <si>
    <t>Total Working Capital</t>
  </si>
  <si>
    <t>Receivables</t>
  </si>
  <si>
    <t>Maintenance Spares</t>
  </si>
  <si>
    <t>O&amp;M Expenses</t>
  </si>
  <si>
    <t>Cost of gas</t>
  </si>
  <si>
    <t>Working Capital</t>
  </si>
  <si>
    <t xml:space="preserve"> Impact on Fixed Charges(Annual)</t>
  </si>
  <si>
    <t>As perTariff w.e.f 1.4.03</t>
  </si>
  <si>
    <t>Total Capacity Charge</t>
  </si>
  <si>
    <t>.435*1.068</t>
  </si>
  <si>
    <t>as per CERC 2014-19 regulation 29</t>
  </si>
  <si>
    <t>Operation &amp; Maintenace</t>
  </si>
  <si>
    <t>Return on Equity</t>
  </si>
  <si>
    <t>Interest on Loan</t>
  </si>
  <si>
    <t>Revised Annual Capacity (Fixed) Charge</t>
  </si>
  <si>
    <t>p/Kwh</t>
  </si>
  <si>
    <t>Total Energy Charge</t>
  </si>
  <si>
    <t>Energy Charge</t>
  </si>
  <si>
    <t>As per SBI rate 01.4.2017</t>
  </si>
  <si>
    <t>Interest on WC</t>
  </si>
  <si>
    <t>Rate of Interest on Loan</t>
  </si>
  <si>
    <t>Depreciation Rate</t>
  </si>
  <si>
    <t>Net Average Loan</t>
  </si>
  <si>
    <t>Loan</t>
  </si>
  <si>
    <t>Equity</t>
  </si>
  <si>
    <t>As per JERC norms</t>
  </si>
  <si>
    <t>Debt</t>
  </si>
  <si>
    <t>As per JERC order dtd 31.03.2015 &amp; 23.05.2016 &amp; 31.03.2017</t>
  </si>
  <si>
    <t xml:space="preserve">Capital Cost </t>
  </si>
  <si>
    <t>As per JERC order dtd 31.03.2015 &amp; 23.05.2016</t>
  </si>
  <si>
    <t>Kcal/Kwh</t>
  </si>
  <si>
    <t>Station Heat Rate (NET)</t>
  </si>
  <si>
    <t>Kcal/SCM</t>
  </si>
  <si>
    <t>Gas GCV</t>
  </si>
  <si>
    <t>As per enclosed fuel cost sheet for FY 2017-18</t>
  </si>
  <si>
    <t>RS/1000SCM</t>
  </si>
  <si>
    <t>Price of Gas</t>
  </si>
  <si>
    <t>As per actual</t>
  </si>
  <si>
    <t>SCM/Kwh</t>
  </si>
  <si>
    <t>Sp Gas Consumption</t>
  </si>
  <si>
    <t>Mus</t>
  </si>
  <si>
    <t>Energy Sent Out</t>
  </si>
  <si>
    <t>Aux. Consumption</t>
  </si>
  <si>
    <t>Generation</t>
  </si>
  <si>
    <t>MW</t>
  </si>
  <si>
    <t>Capacity</t>
  </si>
  <si>
    <t>Particulars</t>
  </si>
  <si>
    <t>2021-22</t>
  </si>
  <si>
    <t>2020-21</t>
  </si>
  <si>
    <t>2019-20</t>
  </si>
  <si>
    <t>2018-19</t>
  </si>
  <si>
    <t>2017-18</t>
  </si>
  <si>
    <t>2016-17</t>
  </si>
  <si>
    <t>2015-16</t>
  </si>
  <si>
    <t>2014-15</t>
  </si>
  <si>
    <t>2013-14</t>
  </si>
  <si>
    <t>PERIODS</t>
  </si>
  <si>
    <t>Days</t>
  </si>
  <si>
    <t xml:space="preserve">Months for the year </t>
  </si>
  <si>
    <t>KARIKAL POWER STATION</t>
  </si>
  <si>
    <t>PUDUCHERRY POWER CORPORATION LTD.</t>
  </si>
  <si>
    <t>1. The Fixed charges has been given for the tariff period 2019-20 &amp; 2020-21 as per the tariff order</t>
  </si>
  <si>
    <t>Note:</t>
  </si>
  <si>
    <t>Any escalation in fuel cost to be considered for subsequent years or FPA to take care of the escalation.</t>
  </si>
  <si>
    <t>3C</t>
  </si>
  <si>
    <t>The total energy charge shall be worked outbased on ex-bus energy scheduled to be sent out in case of plants covered by ABT, and exbus energy sent out in case of plants not covered by ABT, as the case be.</t>
  </si>
  <si>
    <t xml:space="preserve">3B </t>
  </si>
  <si>
    <t>The rate of energy charge shall be computed for open cycle operation and combined cycle operation separately in case of gas/liquid fuel fired plants.</t>
  </si>
  <si>
    <t>3A</t>
  </si>
  <si>
    <t>It multifuel is used simultaneously, give 2.1 in respect of every fuel individually.</t>
  </si>
  <si>
    <t>Financial years for which details are to be submitted should be adjusted in accordance with the year of filing.</t>
  </si>
  <si>
    <t>Details of calculations, considering equity as per regulation, to be furnished and Detailed Calculations of all the above components of costs be furnished in the Forms mentioned against each.</t>
  </si>
  <si>
    <t>Grand Total (1+2) (Rs.in cr.)</t>
  </si>
  <si>
    <t>Total</t>
  </si>
  <si>
    <t>Rate of Energy Charge ex-bus (REC)</t>
  </si>
  <si>
    <t>Rate of Energy Charge from Secondary Fuel (REC)</t>
  </si>
  <si>
    <t>Rate of Energy Charge from Primary Fuel (REC)-P/kwh</t>
  </si>
  <si>
    <t>Calculation of Energy/Variable charges</t>
  </si>
  <si>
    <t>TOTAL</t>
  </si>
  <si>
    <t>Taxes on Income</t>
  </si>
  <si>
    <t>Interest on Allowed Working Capital (Loan Capital (Form 9 as applicable)</t>
  </si>
  <si>
    <t xml:space="preserve">Foreign Exchange Rate Variation </t>
  </si>
  <si>
    <t xml:space="preserve">Operation &amp; Maintenance Expenses </t>
  </si>
  <si>
    <t xml:space="preserve">Advance Against Depreciation </t>
  </si>
  <si>
    <t xml:space="preserve">Depreciation </t>
  </si>
  <si>
    <t>Interest on notional Loan Capital (Notional)</t>
  </si>
  <si>
    <t>Calculation of Capacity /Fixed Charges(Rs.in cr.)</t>
  </si>
  <si>
    <t>(Projections)</t>
  </si>
  <si>
    <t>Ensuing year</t>
  </si>
  <si>
    <r>
      <t>Current year (</t>
    </r>
    <r>
      <rPr>
        <b/>
        <sz val="10"/>
        <rFont val="Arial"/>
        <family val="2"/>
      </rPr>
      <t>as per JERC order</t>
    </r>
    <r>
      <rPr>
        <sz val="10"/>
        <color rgb="FF000000"/>
        <rFont val="Times New Roman"/>
        <family val="0"/>
      </rPr>
      <t>)</t>
    </r>
  </si>
  <si>
    <r>
      <t>Previous year (</t>
    </r>
    <r>
      <rPr>
        <b/>
        <sz val="10"/>
        <rFont val="Arial"/>
        <family val="2"/>
      </rPr>
      <t>as per JERC Order</t>
    </r>
    <r>
      <rPr>
        <sz val="10"/>
        <color rgb="FF000000"/>
        <rFont val="Times New Roman"/>
        <family val="0"/>
      </rPr>
      <t>)</t>
    </r>
  </si>
  <si>
    <t>S.No.</t>
  </si>
  <si>
    <t>State/UT</t>
  </si>
  <si>
    <t>Karaikal Gas Power Station</t>
  </si>
  <si>
    <t>Name of the Generating Station</t>
  </si>
  <si>
    <t>Puducherry Power Corporation LTD.</t>
  </si>
  <si>
    <t>Name of the Applicant</t>
  </si>
  <si>
    <t>SUMMARY SHEET</t>
  </si>
  <si>
    <t>FORMAT-1G</t>
  </si>
  <si>
    <t>PRE-FINAL DRAFT</t>
  </si>
  <si>
    <t>O/(C*10)</t>
  </si>
  <si>
    <t>P</t>
  </si>
  <si>
    <t>Rs./kwh</t>
  </si>
  <si>
    <t>Fuel cost/kwh</t>
  </si>
  <si>
    <t>(N*L/100)</t>
  </si>
  <si>
    <t>O</t>
  </si>
  <si>
    <t>Rs.in Cr.</t>
  </si>
  <si>
    <t>Total cost of Gas</t>
  </si>
  <si>
    <t>N</t>
  </si>
  <si>
    <t>Rs /MT</t>
  </si>
  <si>
    <t>Cost of Gas per MCM (incl. LADT)</t>
  </si>
  <si>
    <t>M</t>
  </si>
  <si>
    <t>Rs/KL</t>
  </si>
  <si>
    <t>Cost of Oil per KL</t>
  </si>
  <si>
    <t>(H*1000/G)</t>
  </si>
  <si>
    <t>L</t>
  </si>
  <si>
    <t>MT</t>
  </si>
  <si>
    <t>Acutal Gas consumption(MCM)</t>
  </si>
  <si>
    <t>K</t>
  </si>
  <si>
    <t>KL</t>
  </si>
  <si>
    <t>Actual Oil  Consumption</t>
  </si>
  <si>
    <t>H -I</t>
  </si>
  <si>
    <t>J</t>
  </si>
  <si>
    <t>Gcal</t>
  </si>
  <si>
    <t>Heat from Coal</t>
  </si>
  <si>
    <t>(A XE XF)</t>
  </si>
  <si>
    <t>I</t>
  </si>
  <si>
    <t>Heat from Oil</t>
  </si>
  <si>
    <t>A X D</t>
  </si>
  <si>
    <t>H</t>
  </si>
  <si>
    <t>Overall Heat rate</t>
  </si>
  <si>
    <t>G</t>
  </si>
  <si>
    <t>Kcal/scm</t>
  </si>
  <si>
    <t>Calorific Value of Gas</t>
  </si>
  <si>
    <t>F</t>
  </si>
  <si>
    <t>Kcal/Litre</t>
  </si>
  <si>
    <t xml:space="preserve">Calorific Value of Fuel Oil </t>
  </si>
  <si>
    <t>E</t>
  </si>
  <si>
    <t>M/kWh</t>
  </si>
  <si>
    <t xml:space="preserve">Specific Oil Consumption </t>
  </si>
  <si>
    <t>D</t>
  </si>
  <si>
    <t>Kcal/kWh</t>
  </si>
  <si>
    <t>Station Heat Rate</t>
  </si>
  <si>
    <t>A-B</t>
  </si>
  <si>
    <t>C</t>
  </si>
  <si>
    <t>MU</t>
  </si>
  <si>
    <t>Generation (Ex-bus)</t>
  </si>
  <si>
    <t>Auxiliary Consumption</t>
  </si>
  <si>
    <t>B</t>
  </si>
  <si>
    <t xml:space="preserve"> % MU</t>
  </si>
  <si>
    <t>A</t>
  </si>
  <si>
    <t>Installed Capacity</t>
  </si>
  <si>
    <t>Actual</t>
  </si>
  <si>
    <t>Current year</t>
  </si>
  <si>
    <t>Previous Year</t>
  </si>
  <si>
    <t>Derivation</t>
  </si>
  <si>
    <t>Ref.</t>
  </si>
  <si>
    <t>Unit</t>
  </si>
  <si>
    <t>Sl.No.</t>
  </si>
  <si>
    <t>Natural gas</t>
  </si>
  <si>
    <t>Mention type of fuel</t>
  </si>
  <si>
    <t>Alternate Fuel</t>
  </si>
  <si>
    <t>Secondary Fuel</t>
  </si>
  <si>
    <t>Primary Fuel</t>
  </si>
  <si>
    <t>Fuel Details</t>
  </si>
  <si>
    <t>Induced Draft Cooling Tower</t>
  </si>
  <si>
    <t>Type of cooling System</t>
  </si>
  <si>
    <t>e)</t>
  </si>
  <si>
    <t>03.01.2000</t>
  </si>
  <si>
    <t>Date of Commercial Operation (COD)</t>
  </si>
  <si>
    <t>d)</t>
  </si>
  <si>
    <t>Any other specific features</t>
  </si>
  <si>
    <t>c)</t>
  </si>
  <si>
    <t>ISO 14001 CERTIFIED</t>
  </si>
  <si>
    <t>Environmental Regulation related Features</t>
  </si>
  <si>
    <t>b)</t>
  </si>
  <si>
    <t>Combined Cycle Plant with frame V Gas Turbine of 22.9 MW and steam Turbine of 9.6 MW, Unfired HRSG</t>
  </si>
  <si>
    <t>Basic Characterstics &amp; Site Specific Features</t>
  </si>
  <si>
    <t>a)</t>
  </si>
  <si>
    <t>Gas Booster pump</t>
  </si>
  <si>
    <t>Special features of the Plant</t>
  </si>
  <si>
    <t>Puducherry</t>
  </si>
  <si>
    <t>Karaikal</t>
  </si>
  <si>
    <t>Region</t>
  </si>
  <si>
    <t>Name of the Applicant:</t>
  </si>
  <si>
    <t>Tariff Norms for Energy/Variable Charges</t>
  </si>
  <si>
    <t>FORMAT - 2G</t>
  </si>
  <si>
    <t>FORMAT-3G</t>
  </si>
  <si>
    <t>(Name of the Applicant)</t>
  </si>
  <si>
    <t>ANNUAL REVENUE REQUIREMENT FOR THE YEAR 2021-2022</t>
  </si>
  <si>
    <t>Information regarding amount of Equity &amp; Loan</t>
  </si>
  <si>
    <t>Period</t>
  </si>
  <si>
    <t>Amt. Of Equity</t>
  </si>
  <si>
    <t xml:space="preserve">Amt. Of Loan </t>
  </si>
  <si>
    <t>Ratio of equity &amp; loan</t>
  </si>
  <si>
    <t>(Rs. in Crores)</t>
  </si>
  <si>
    <t>As on March 31 of previous year(2019-2020)</t>
  </si>
  <si>
    <t xml:space="preserve">As on March 31 of current year(2020-2021) </t>
  </si>
  <si>
    <t xml:space="preserve">As on March 31 of ensuing year(2021-2022) </t>
  </si>
  <si>
    <t>FORMAT-4G</t>
  </si>
  <si>
    <t>Interest Capitalised</t>
  </si>
  <si>
    <t>NA</t>
  </si>
  <si>
    <t>(Rs. in crores)</t>
  </si>
  <si>
    <t xml:space="preserve">Previous year </t>
  </si>
  <si>
    <t>Current year (RE)</t>
  </si>
  <si>
    <t>Ensuing year (Projections)</t>
  </si>
  <si>
    <t>(actuals)</t>
  </si>
  <si>
    <t>WIP*</t>
  </si>
  <si>
    <t>GFA* at the end of the year</t>
  </si>
  <si>
    <t>WIP+GFA at the end of the year</t>
  </si>
  <si>
    <t>Interest (excluding interest on WCL*)</t>
  </si>
  <si>
    <t>*WIP: Works in Progress: GFA:Gross Fixed Assets:WCL:Working Capital oan</t>
  </si>
  <si>
    <t>FORMAT-7G</t>
  </si>
  <si>
    <t xml:space="preserve">Calculation of Depreciation Rate </t>
  </si>
  <si>
    <t>Calculation of Depreciation Rate</t>
  </si>
  <si>
    <t xml:space="preserve">Karaikal </t>
  </si>
  <si>
    <t>Date of Commercial Operation of the Generating Station</t>
  </si>
  <si>
    <t>03.03.2000</t>
  </si>
  <si>
    <t>Capital cost of the Generating Station( as on 01.04.2018)</t>
  </si>
  <si>
    <t>Rs.166.61</t>
  </si>
  <si>
    <t>Additional Capitalisation</t>
  </si>
  <si>
    <t>Rs.0</t>
  </si>
  <si>
    <t>Total Capital cost of the Generating Station   ( as on 01.04.2019)</t>
  </si>
  <si>
    <t>Rs. 166.61 Cr.</t>
  </si>
  <si>
    <t>Estimated life of the Generating Station</t>
  </si>
  <si>
    <t>6 yrs</t>
  </si>
  <si>
    <t>Rate of Depreciation</t>
  </si>
  <si>
    <t>Upto (year)</t>
  </si>
  <si>
    <t>After (year)</t>
  </si>
  <si>
    <t>(Amount in Rs.)</t>
  </si>
  <si>
    <t>Name of the Assets</t>
  </si>
  <si>
    <t>Depreciation rates as per CERC's Depreciation Rate Schedule (Appendix-III)</t>
  </si>
  <si>
    <t xml:space="preserve">Previous Year </t>
  </si>
  <si>
    <t>Current Year</t>
  </si>
  <si>
    <t>Ensuing Year</t>
  </si>
  <si>
    <t>Accumulated depreciation Amount(FY 2018-2020 periods)</t>
  </si>
  <si>
    <t>Assets value for the FY 2008-09</t>
  </si>
  <si>
    <t>Depreciation charges</t>
  </si>
  <si>
    <t>Assets value at 31.03.17</t>
  </si>
  <si>
    <t>Assets value as on 31.03.18</t>
  </si>
  <si>
    <t>Assets value as on 31.03.19</t>
  </si>
  <si>
    <t>Assets value as on 31.03.20</t>
  </si>
  <si>
    <t>Land</t>
  </si>
  <si>
    <t>Land Dev</t>
  </si>
  <si>
    <t>Building</t>
  </si>
  <si>
    <t>Furniture and Fittings</t>
  </si>
  <si>
    <t>Office Equipment</t>
  </si>
  <si>
    <t>Vehicle</t>
  </si>
  <si>
    <t>Borewell</t>
  </si>
  <si>
    <t>Coumputer</t>
  </si>
  <si>
    <t>Plant and Machinery</t>
  </si>
  <si>
    <t>Factory Building (Internal Road)</t>
  </si>
  <si>
    <t>Plant and Machinery-Bhel</t>
  </si>
  <si>
    <t>P&amp;M-Sub-Station-ABB</t>
  </si>
  <si>
    <t>Building -Mark-IV&amp;otherBHEL</t>
  </si>
  <si>
    <t>Building-Sub stationABB</t>
  </si>
  <si>
    <t>Bulding Sub</t>
  </si>
  <si>
    <t>Building-II - Qtr</t>
  </si>
  <si>
    <t>Pipeline PWD</t>
  </si>
  <si>
    <t>Pipeline Horticulture</t>
  </si>
  <si>
    <t>Pipe-water supply line</t>
  </si>
  <si>
    <t>Tools</t>
  </si>
  <si>
    <t>High mast lighting</t>
  </si>
  <si>
    <t>Ro Plant</t>
  </si>
  <si>
    <t>Weighed Average Depreciation Rate (%)</t>
  </si>
  <si>
    <t>Name of the Assets should confirm to the description of the assets mentioned in Depreciation Schedule appended to the Notification</t>
  </si>
  <si>
    <t>FORMAT-9G</t>
  </si>
  <si>
    <t>Name of the Power Station</t>
  </si>
  <si>
    <t>Karikal Power Station</t>
  </si>
  <si>
    <t>Calculation of Interest on Working Capital for generation</t>
  </si>
  <si>
    <t>(Amount in Rs. Cr.)</t>
  </si>
  <si>
    <t>Cost of Secondary Fuel Oil</t>
  </si>
  <si>
    <t>Fuel Cost</t>
  </si>
  <si>
    <t xml:space="preserve"> Fuel Stock</t>
  </si>
  <si>
    <t>O&amp;M expenses</t>
  </si>
  <si>
    <t>Maintenance spares</t>
  </si>
  <si>
    <t>Total working capital</t>
  </si>
  <si>
    <t>Rate of interest on working capital</t>
  </si>
  <si>
    <t>Interest on working capital</t>
  </si>
  <si>
    <t>1. For coal based/lignite based generating stations</t>
  </si>
  <si>
    <t>2. For Gas Turbine/Combined Cycle generating stations duly taking into account the mode of operation on gas fuel and liquid fuel.</t>
  </si>
  <si>
    <t>FORMAT-10G</t>
  </si>
  <si>
    <t>ANNUAL REVENUE REQUIREMENT FOR THE YEAR 2021-22</t>
  </si>
  <si>
    <t>Information regarding FERV</t>
  </si>
  <si>
    <t>Amount (Rs. in crore)</t>
  </si>
  <si>
    <t>Amout of Liability provided</t>
  </si>
  <si>
    <t>To be provided in additional submission</t>
  </si>
  <si>
    <t>Amout recovered</t>
  </si>
  <si>
    <t>Amount adjusted</t>
  </si>
  <si>
    <t>Amount of liability provided</t>
  </si>
  <si>
    <t>Amount recovered</t>
  </si>
  <si>
    <t xml:space="preserve">Amount adjusted </t>
  </si>
  <si>
    <t>FORMAT-11G</t>
  </si>
  <si>
    <t>DETAILS OF OPERATION AND MAINTENANCE EXPENSE</t>
  </si>
  <si>
    <t>Current  Year</t>
  </si>
  <si>
    <t>Revise</t>
  </si>
  <si>
    <t>Projected</t>
  </si>
  <si>
    <t>(A)</t>
  </si>
  <si>
    <t>Breakup of O&amp;M expenses</t>
  </si>
  <si>
    <t>Consumption of Stores and Spares</t>
  </si>
  <si>
    <t>Repair and Maintenance</t>
  </si>
  <si>
    <t>Insurance</t>
  </si>
  <si>
    <t>Security</t>
  </si>
  <si>
    <t>Administrative Expenses</t>
  </si>
  <si>
    <t xml:space="preserve"> - Rent</t>
  </si>
  <si>
    <t xml:space="preserve"> - Electricity Charges</t>
  </si>
  <si>
    <t xml:space="preserve"> - Travelling and conveyance</t>
  </si>
  <si>
    <t xml:space="preserve"> - Telephone, telex and postage</t>
  </si>
  <si>
    <t xml:space="preserve"> - Advertising</t>
  </si>
  <si>
    <t xml:space="preserve"> - Entertainment</t>
  </si>
  <si>
    <t xml:space="preserve"> - Others (Specify items)_</t>
  </si>
  <si>
    <t>Sub-total (Administrative Expenses)</t>
  </si>
  <si>
    <t>Employee Cost</t>
  </si>
  <si>
    <t>a) Salaries, wages and allowances</t>
  </si>
  <si>
    <t>i)    Basic pay</t>
  </si>
  <si>
    <t>ii)   Dearness pay</t>
  </si>
  <si>
    <t>iii)  Dearness allowance</t>
  </si>
  <si>
    <t>iv)  House rent allowance</t>
  </si>
  <si>
    <t>v)   Fixed medical allowance</t>
  </si>
  <si>
    <t>vi)  Medical reimbursement charges</t>
  </si>
  <si>
    <t>vii) Over time payment</t>
  </si>
  <si>
    <t>viii)Other allowances (detailed list to be attached)</t>
  </si>
  <si>
    <t>ix) Generation incentive</t>
  </si>
  <si>
    <t>x)  Bonus</t>
  </si>
  <si>
    <t>b) Staff welfare expenes/Terminal Benefits</t>
  </si>
  <si>
    <t>i)  Leave encashment</t>
  </si>
  <si>
    <t>ii) Gratuity</t>
  </si>
  <si>
    <t>iii)Commutation of pension</t>
  </si>
  <si>
    <t>iv) Workmen compensation</t>
  </si>
  <si>
    <t>v)  Ex-gratia</t>
  </si>
  <si>
    <t>c) Productivity linked incentive</t>
  </si>
  <si>
    <t>d) Pension Payments</t>
  </si>
  <si>
    <t>i) Basic pension</t>
  </si>
  <si>
    <t>ii)Dearness pension</t>
  </si>
  <si>
    <t>iii)Dearness allowance</t>
  </si>
  <si>
    <t>iv) Any other expenses</t>
  </si>
  <si>
    <t>Total Employee Cost (a+b+c=d)</t>
  </si>
  <si>
    <t>Corporate/Head office expenses allocation</t>
  </si>
  <si>
    <t>Total (1 to 7)</t>
  </si>
  <si>
    <t>LESS: Recovered, if any</t>
  </si>
  <si>
    <t>Net Expenses</t>
  </si>
  <si>
    <t>Notes:</t>
  </si>
  <si>
    <t>I) The process of allocation of corporate expenses togenerating stations should be specified.</t>
  </si>
  <si>
    <t>II)  An annual increase in O&amp;M expenses under a given head in excess of 20 percent should be explained.</t>
  </si>
  <si>
    <t>III) The data should be based on audited balance sheets</t>
  </si>
  <si>
    <t>Breakup of corporate eaxpenses</t>
  </si>
  <si>
    <t>(Aggregate)_</t>
  </si>
  <si>
    <t xml:space="preserve"> - Employee expenses</t>
  </si>
  <si>
    <t xml:space="preserve"> - Repair &amp; Maintenance</t>
  </si>
  <si>
    <t xml:space="preserve"> -  Training and Recruitment</t>
  </si>
  <si>
    <t xml:space="preserve"> - Communication</t>
  </si>
  <si>
    <t xml:space="preserve"> - Travelling</t>
  </si>
  <si>
    <t xml:space="preserve"> - Security</t>
  </si>
  <si>
    <t xml:space="preserve"> - Others</t>
  </si>
  <si>
    <t>Details of number of Employee</t>
  </si>
  <si>
    <t>i) Executives</t>
  </si>
  <si>
    <t>ii) Non-exectives</t>
  </si>
  <si>
    <t>iii) Skilled</t>
  </si>
  <si>
    <t>iv) Non-skilled</t>
  </si>
  <si>
    <t>NOTE</t>
  </si>
  <si>
    <t>FORMAT-12G</t>
  </si>
  <si>
    <t>Name of the Power Station:</t>
  </si>
  <si>
    <t>Date of Commercial Operation of the Generating Station:</t>
  </si>
  <si>
    <t>Generation Tariff Determination, Return on Equity and Tax  on Income</t>
  </si>
  <si>
    <t>(Rs. in million)</t>
  </si>
  <si>
    <t>Previous year (2019-20)</t>
  </si>
  <si>
    <t>Current year (as per JERC order) (2020-21)</t>
  </si>
  <si>
    <t>Projected year (2021-22)</t>
  </si>
  <si>
    <t>Year 4</t>
  </si>
  <si>
    <t>year 5</t>
  </si>
  <si>
    <t>Year 6</t>
  </si>
  <si>
    <t>(Actual)</t>
  </si>
  <si>
    <t>Gross Generation (MU)</t>
  </si>
  <si>
    <t>Auxiliary Consumption (%)</t>
  </si>
  <si>
    <t>Net Generation (MU)</t>
  </si>
  <si>
    <t>a) Interest on Loan Capital</t>
  </si>
  <si>
    <t>b) Depreciation</t>
  </si>
  <si>
    <t>c) Advance Against Depreciation</t>
  </si>
  <si>
    <t>d) O&amp;M Expenses</t>
  </si>
  <si>
    <t>e) Interest on Working Capital</t>
  </si>
  <si>
    <t>f) Foreign exchange Rate Variation</t>
  </si>
  <si>
    <t>g) Return on Equity</t>
  </si>
  <si>
    <t>h) Taxes</t>
  </si>
  <si>
    <t>Energy/Variable Charges(Rs. Millon)#</t>
  </si>
  <si>
    <t>Total Expenses in Rs.millon (4+5)</t>
  </si>
  <si>
    <t>Cost per Unit in Rs.(3/6)</t>
  </si>
  <si>
    <t>*Energy Charges as stated in Format 2</t>
  </si>
  <si>
    <t># Energy charges has been computed considering Normative PLF of 85% based on CERC Regulations, 2009</t>
  </si>
  <si>
    <t>1. Year 1 is the FY in which the last unit of the generating station started Commercial Operation.</t>
  </si>
  <si>
    <r>
      <t>Details/Information to be Submitted in respect of Fuel for Computation of Energy Charges</t>
    </r>
    <r>
      <rPr>
        <b/>
        <u val="single"/>
        <vertAlign val="superscript"/>
        <sz val="12"/>
        <rFont val="Tahoma"/>
        <family val="2"/>
      </rPr>
      <t>1</t>
    </r>
  </si>
  <si>
    <t>Name of the Company</t>
  </si>
  <si>
    <t>Karaikal station</t>
  </si>
  <si>
    <t xml:space="preserve"> </t>
  </si>
  <si>
    <t>Fuel: Natural Gas</t>
  </si>
  <si>
    <t>For Preceeding 1st Month (July'20)</t>
  </si>
  <si>
    <t>For Preceeding 2nd Month (Aug'20)</t>
  </si>
  <si>
    <t>For Preceeding 3rd Month (Sep'20)</t>
  </si>
  <si>
    <t>LDO</t>
  </si>
  <si>
    <t>Gas</t>
  </si>
  <si>
    <t>Quantity of gas supplied by GAIL</t>
  </si>
  <si>
    <t>Cu.m</t>
  </si>
  <si>
    <t>Adjustment(+/-) in quantity supplied made by GAIL</t>
  </si>
  <si>
    <t>Gas supplied by GAIL (1+2)</t>
  </si>
  <si>
    <t xml:space="preserve">Normative Transit &amp; Handling Losses </t>
  </si>
  <si>
    <t>Net Gas Supplied (3-4)</t>
  </si>
  <si>
    <t>Amount charged by the Gas Company</t>
  </si>
  <si>
    <t>(Rs)</t>
  </si>
  <si>
    <t>Adjustment(+/-) in amount charged made by Gas Company</t>
  </si>
  <si>
    <t>Total amount charged (6+7)</t>
  </si>
  <si>
    <t>Transportation charges by rail / ship / road transport</t>
  </si>
  <si>
    <t>Adjustment (+/-) in amount charged made by Railways/Transport Company</t>
  </si>
  <si>
    <t>Demurrage Charges, if any</t>
  </si>
  <si>
    <t>Cost of diesel in transporting  gas through other system, if applicable</t>
  </si>
  <si>
    <t>Total Transportation Charges (9+/-10-11+12)</t>
  </si>
  <si>
    <t>Total amount Charged for fuel supplied including Transportation (8+13)</t>
  </si>
  <si>
    <t>Weighted average GCV of Gas as fired</t>
  </si>
  <si>
    <t>(kCal/Cu.m)</t>
  </si>
  <si>
    <t>Gas consumption  #</t>
  </si>
  <si>
    <t>Weighted average rate of  Fuel/1000 Cu.m #</t>
  </si>
  <si>
    <t>Rs/1000 cu.m</t>
  </si>
  <si>
    <r>
      <t>1</t>
    </r>
    <r>
      <rPr>
        <sz val="12"/>
        <rFont val="Tahoma"/>
        <family val="2"/>
      </rPr>
      <t xml:space="preserve"> Similar details to be furnished for natural gas/liquid fuel for CCGT station and secondary fuel oil for coal/lignite based thermal plants</t>
    </r>
  </si>
  <si>
    <t># Additional data</t>
  </si>
  <si>
    <t>PETITIONER</t>
  </si>
  <si>
    <t xml:space="preserve"> TARIFF CALCULATION FOR THE TARIFF PERIOD 2017-18</t>
  </si>
  <si>
    <t>Weighted average dep. for 18-19 is Rs.1.88 crores i.e. (139.28-126.11=13.17) and Rs13.17 crores shared equal for the remaining life of the asset i.e. 7 years.</t>
  </si>
  <si>
    <t xml:space="preserve"> TARIFF CALCULATION FOR THE TARIFF PERIOD 2016-17</t>
  </si>
  <si>
    <t>As per JERC order dtd 25.04.2014 &amp; 31.03.2015</t>
  </si>
  <si>
    <t>As per acttual( last 6 months avg)</t>
  </si>
  <si>
    <t>As per enclosed Fuel cost sheet for FY 15-16</t>
  </si>
  <si>
    <t>Pl check gas GCV</t>
  </si>
  <si>
    <t xml:space="preserve">Avg. Capital Cost </t>
  </si>
  <si>
    <t>AS per JERC Norms</t>
  </si>
  <si>
    <t>As per SBI rate 31.03.2014</t>
  </si>
  <si>
    <t>as per CERC 2014-19 regulation</t>
  </si>
  <si>
    <t>Weighted average dep. for 16-17 is Rs.0.38 crores i.e. (128.66-125.27=3.39) and Rs.3.39 crores shared equal for the remaining life of the asset i.e. 9 years.</t>
  </si>
  <si>
    <t>ANNEXURE-ADDITIONAL CAPTIAL COST</t>
  </si>
  <si>
    <t>DESCRIPTION OF ITEM</t>
  </si>
  <si>
    <t>UNIT</t>
  </si>
  <si>
    <t>BASIC PRICE IN RS</t>
  </si>
  <si>
    <t>COMPLETE SET OF NEW ROTOR</t>
  </si>
  <si>
    <t>1 NO</t>
  </si>
  <si>
    <t>STATOR VANE KIT WITH HARDWARE</t>
  </si>
  <si>
    <t>INLET  GUIDE VANE ARRANGEMENT COMPLETE</t>
  </si>
  <si>
    <t>DISCOUNT @11%</t>
  </si>
  <si>
    <t>DISCOUNTED BASIC PRICE</t>
  </si>
  <si>
    <t>GST@18%</t>
  </si>
  <si>
    <t>TOTAL IN CRORES</t>
  </si>
  <si>
    <t xml:space="preserve">FREIGHT </t>
  </si>
  <si>
    <t>Rs 2.48 LAKHS</t>
  </si>
  <si>
    <t>Rs .45 lakhs</t>
  </si>
  <si>
    <t>Total frieght</t>
  </si>
  <si>
    <t>Rs 2.93 lakhs OR Rs 0.029 crores</t>
  </si>
  <si>
    <t>TOTAL INCLUSIVE OF FREIGHT</t>
  </si>
  <si>
    <t>FORTNIGHTLY DIFFERENCE  BETWEEN ENERGY CHARGES AND FUEL BILL</t>
  </si>
  <si>
    <t>SALE OF POWER</t>
  </si>
  <si>
    <t>April'17</t>
  </si>
  <si>
    <t>May'17</t>
  </si>
  <si>
    <t>June'17</t>
  </si>
  <si>
    <t>July'17</t>
  </si>
  <si>
    <t>Aug''17</t>
  </si>
  <si>
    <t>Oct'17</t>
  </si>
  <si>
    <t>Nov'17</t>
  </si>
  <si>
    <t>Dec'17</t>
  </si>
  <si>
    <t>Jan'18</t>
  </si>
  <si>
    <t>Feb'18</t>
  </si>
  <si>
    <t>Mar'18</t>
  </si>
  <si>
    <t>additional transportation  charges = 4406668 has apportioned to april and may month equally</t>
  </si>
  <si>
    <t>PUDUCHERRY POWER CORPORATION LIMITED</t>
  </si>
  <si>
    <t>(A GOVT OF PUDUCHERRY UNDERTAKING)</t>
  </si>
  <si>
    <t>PROJECT OFFICE, T.R.PATTINAM, KARAIKAL - 609 606</t>
  </si>
  <si>
    <t>ANNUAL PLANT PERFORMANCE REPORT  2000 - 2018</t>
  </si>
  <si>
    <t>S.NO</t>
  </si>
  <si>
    <t>DESCRIPTION</t>
  </si>
  <si>
    <t>UOM</t>
  </si>
  <si>
    <t>2000-01</t>
  </si>
  <si>
    <t>2001-02</t>
  </si>
  <si>
    <t>2002-03</t>
  </si>
  <si>
    <t>2003-04</t>
  </si>
  <si>
    <t>2004-05</t>
  </si>
  <si>
    <t>2005-06</t>
  </si>
  <si>
    <t>2006-07</t>
  </si>
  <si>
    <t>2007-08</t>
  </si>
  <si>
    <t>2008-09</t>
  </si>
  <si>
    <t>GTG GENERATION</t>
  </si>
  <si>
    <t>KWH</t>
  </si>
  <si>
    <t>STG GENERATION</t>
  </si>
  <si>
    <t>TOTAL GENERATION</t>
  </si>
  <si>
    <t>TNEB EXPORT</t>
  </si>
  <si>
    <t>PED EXPORT</t>
  </si>
  <si>
    <t>TOTAL EXPORT</t>
  </si>
  <si>
    <t>SALE OF POWER AS PER JOINT METER READING</t>
  </si>
  <si>
    <t>GAS CONSUMPTION</t>
  </si>
  <si>
    <t>CUM</t>
  </si>
  <si>
    <t>POWER PER CUM OF GAS</t>
  </si>
  <si>
    <t>KWH/Cu.M</t>
  </si>
  <si>
    <t>AUXILLIARY CONSUMPTION</t>
  </si>
  <si>
    <t>GTG OA</t>
  </si>
  <si>
    <t>% OF AUX. CONSUMPTION</t>
  </si>
  <si>
    <t>STG OA</t>
  </si>
  <si>
    <t>ISLANDING OPERATION</t>
  </si>
  <si>
    <t>HRS: MIN</t>
  </si>
  <si>
    <t>Plant OA</t>
  </si>
  <si>
    <t>G.T STOPPAGES</t>
  </si>
  <si>
    <t>STG STOPPAGES</t>
  </si>
  <si>
    <t>PLANT FULL SHUTDOWN DUE TO</t>
  </si>
  <si>
    <t>EXTERNAL CAUSE</t>
  </si>
  <si>
    <t>INTERNAL CAUSE</t>
  </si>
  <si>
    <t>ELECTRICAL</t>
  </si>
  <si>
    <t>MECHANICAL</t>
  </si>
  <si>
    <t>INSTRUMENTATION</t>
  </si>
  <si>
    <t>ANNUAL OVERHAUL</t>
  </si>
  <si>
    <t>TOTAL OUTAGE</t>
  </si>
  <si>
    <t>PLANT AVAILABILITY FACTOR</t>
  </si>
  <si>
    <t>ACHEIVEMENTS</t>
  </si>
  <si>
    <t>MAX PLF IN A MONTH</t>
  </si>
  <si>
    <t>MAX AVG GEN IN A MONTH</t>
  </si>
  <si>
    <t>CEA TARGET</t>
  </si>
  <si>
    <t>CEA TARGET ACHIEVED</t>
  </si>
  <si>
    <t>EFFICIENCY OF THE PLANT</t>
  </si>
  <si>
    <t>CALORIFIC VALUE</t>
  </si>
  <si>
    <t>Kcal/Cu.m</t>
  </si>
  <si>
    <t>Kcal/Kwhr</t>
  </si>
  <si>
    <t>no of days in a year</t>
  </si>
  <si>
    <t>days</t>
  </si>
  <si>
    <t>Avergae PLF</t>
  </si>
  <si>
    <t>:</t>
  </si>
  <si>
    <t>2009-10</t>
  </si>
  <si>
    <t>2010-11</t>
  </si>
  <si>
    <t>cap charges</t>
  </si>
  <si>
    <t>April'19</t>
  </si>
  <si>
    <t>May'19</t>
  </si>
  <si>
    <t>June'19</t>
  </si>
  <si>
    <t>July'19</t>
  </si>
  <si>
    <t>Aug''19</t>
  </si>
  <si>
    <t>Sep'19</t>
  </si>
  <si>
    <t>Oct'19</t>
  </si>
  <si>
    <t>Nov'19</t>
  </si>
  <si>
    <t>Dec'19</t>
  </si>
  <si>
    <t>Jan'20</t>
  </si>
  <si>
    <t>Feb'20</t>
  </si>
  <si>
    <t>Mar'20</t>
  </si>
  <si>
    <t>FORTNIGHTLY DIFFERENCE  BETWEEN ENERGY CHARGES AND FUEL BILL FOR 2018-19</t>
  </si>
  <si>
    <t>April'18</t>
  </si>
  <si>
    <t>May'18</t>
  </si>
  <si>
    <t>June'18</t>
  </si>
  <si>
    <t>July'18</t>
  </si>
  <si>
    <t>Aug''18</t>
  </si>
  <si>
    <t>Sep'18</t>
  </si>
  <si>
    <t>Oct'18</t>
  </si>
  <si>
    <t>Nov'18</t>
  </si>
  <si>
    <t>Dec'18</t>
  </si>
  <si>
    <t>Jan'19</t>
  </si>
  <si>
    <t>Feb'19</t>
  </si>
  <si>
    <t>Mar'19</t>
  </si>
  <si>
    <t>fuel price</t>
  </si>
  <si>
    <t xml:space="preserve">Fuel  price </t>
  </si>
  <si>
    <t>April'16</t>
  </si>
  <si>
    <t>May'16</t>
  </si>
  <si>
    <t>June'16</t>
  </si>
  <si>
    <t>July'16</t>
  </si>
  <si>
    <t>Aug''16</t>
  </si>
  <si>
    <t>Sep'16</t>
  </si>
  <si>
    <t>Oct'16</t>
  </si>
  <si>
    <t>Nov'16</t>
  </si>
  <si>
    <t>Dec'16</t>
  </si>
  <si>
    <t>Jan'17</t>
  </si>
  <si>
    <t>Feb'17</t>
  </si>
  <si>
    <t>Mar'17</t>
  </si>
  <si>
    <t>capacity charges=</t>
  </si>
  <si>
    <t>energy charges +capacity charges</t>
  </si>
  <si>
    <t>NCV</t>
  </si>
  <si>
    <t>volume</t>
  </si>
  <si>
    <t>April'14</t>
  </si>
  <si>
    <t>May'14</t>
  </si>
  <si>
    <t>June'14</t>
  </si>
  <si>
    <t>July'14</t>
  </si>
  <si>
    <t>Aug''14</t>
  </si>
  <si>
    <t>Sep'14</t>
  </si>
  <si>
    <t>Oct'14</t>
  </si>
  <si>
    <t>Nov'14</t>
  </si>
  <si>
    <t>Dec'14</t>
  </si>
  <si>
    <t>Jan'15</t>
  </si>
  <si>
    <t>Feb'15</t>
  </si>
  <si>
    <t>Mar'15</t>
  </si>
  <si>
    <t>FORTNIGHTLY DIFFERENCE  BETWEEN ENERGY CHARGES AND FUEL BILL FOR 2020-21</t>
  </si>
  <si>
    <t>sop</t>
  </si>
  <si>
    <t>ecr+ CC</t>
  </si>
  <si>
    <t>SOP</t>
  </si>
  <si>
    <t>capacity charges</t>
  </si>
  <si>
    <t>FORTNIGHTLY DIFFERENCE  BETWEEN ENERGY CHARGES AND FUEL BILL FOR 2021-22</t>
  </si>
  <si>
    <t>April'21</t>
  </si>
  <si>
    <t>May'21</t>
  </si>
  <si>
    <t>June'21</t>
  </si>
  <si>
    <t>July'21</t>
  </si>
  <si>
    <t>Aug''21</t>
  </si>
  <si>
    <t>Sep'21</t>
  </si>
  <si>
    <t>Oct'21</t>
  </si>
  <si>
    <t>Nov'21</t>
  </si>
  <si>
    <t>Dec'21</t>
  </si>
  <si>
    <t>Jan'22</t>
  </si>
  <si>
    <t>Feb'22</t>
  </si>
  <si>
    <t>Mar'22</t>
  </si>
  <si>
    <t>2022-23</t>
  </si>
  <si>
    <t>2023-24</t>
  </si>
  <si>
    <t>2024-25</t>
  </si>
  <si>
    <r>
      <rPr>
        <b/>
        <sz val="12"/>
        <rFont val="Cambria"/>
        <family val="1"/>
      </rPr>
      <t xml:space="preserve">
</t>
    </r>
    <r>
      <rPr>
        <b/>
        <sz val="12"/>
        <rFont val="Cambria"/>
        <family val="1"/>
      </rPr>
      <t>2018-19</t>
    </r>
  </si>
  <si>
    <t>Existing 2021-22</t>
  </si>
  <si>
    <r>
      <rPr>
        <b/>
        <sz val="12"/>
        <rFont val="Cambria"/>
        <family val="1"/>
      </rPr>
      <t>2024-25</t>
    </r>
  </si>
  <si>
    <t>As on March 31 of previous year(2020-2021)</t>
  </si>
  <si>
    <t xml:space="preserve">As on March 31 of current year(2021-2022) </t>
  </si>
  <si>
    <t xml:space="preserve">As on March 31 of ensuing year(2023-2024) </t>
  </si>
  <si>
    <t xml:space="preserve">As on March 31 of ensuing year(2022-2023) </t>
  </si>
  <si>
    <t xml:space="preserve">As on March 31 of ensuing year(2024-2025) </t>
  </si>
  <si>
    <r>
      <rPr>
        <b/>
        <sz val="12"/>
        <rFont val="Cambria"/>
        <family val="1"/>
      </rPr>
      <t xml:space="preserve">Name of the Petitioner :  </t>
    </r>
    <r>
      <rPr>
        <u val="single"/>
        <sz val="12"/>
        <rFont val="Times New Roman"/>
        <family val="1"/>
      </rPr>
      <t xml:space="preserve">PUDUCHERRY POWER CORPORATION LTD                                                        
</t>
    </r>
    <r>
      <rPr>
        <b/>
        <sz val="12"/>
        <rFont val="Cambria"/>
        <family val="1"/>
      </rPr>
      <t>Name of the Generating Station                KARAIKAL COMBINED CYCLE POWER STATION</t>
    </r>
  </si>
  <si>
    <t>3.1.2000</t>
  </si>
  <si>
    <t>BHEL</t>
  </si>
  <si>
    <t>Induced draft type</t>
  </si>
  <si>
    <t>Closed recirculating system</t>
  </si>
  <si>
    <t>Motor operated pump</t>
  </si>
  <si>
    <t>NATURAL GAS</t>
  </si>
  <si>
    <t xml:space="preserve">     PART 1       FORM-2</t>
  </si>
  <si>
    <t>Hot extractive sampling</t>
  </si>
  <si>
    <t>Insitu dry type dust density stack opacity meter</t>
  </si>
  <si>
    <t>70-80 Cum/hr</t>
  </si>
  <si>
    <t>3600 Cum/hr</t>
  </si>
  <si>
    <t>delta T = 8 DegC</t>
  </si>
  <si>
    <r>
      <rPr>
        <sz val="12"/>
        <rFont val="Cambria"/>
        <family val="1"/>
      </rPr>
      <t xml:space="preserve">5. Closed circuit cooling, once through cooling, sea cooling, natural draft cooling, induced draft
cooling etc. : </t>
    </r>
    <r>
      <rPr>
        <b/>
        <sz val="12"/>
        <rFont val="Cambria"/>
        <family val="1"/>
      </rPr>
      <t>INDUCED DRAFT</t>
    </r>
  </si>
  <si>
    <r>
      <rPr>
        <sz val="12"/>
        <rFont val="Cambria"/>
        <family val="1"/>
      </rPr>
      <t xml:space="preserve">7. Coal or natural gas or Naptha or lignite etc. : </t>
    </r>
    <r>
      <rPr>
        <b/>
        <sz val="12"/>
        <rFont val="Cambria"/>
        <family val="1"/>
      </rPr>
      <t>NATURAL GAS</t>
    </r>
  </si>
  <si>
    <r>
      <rPr>
        <sz val="12"/>
        <rFont val="Cambria"/>
        <family val="1"/>
      </rPr>
      <t xml:space="preserve">8. Any site specific feature such as Merry-Go-Round, Vicinity to sea, Intake /makeup water
systems etc. scrubbers etc. Specify all such features : </t>
    </r>
    <r>
      <rPr>
        <b/>
        <sz val="12"/>
        <rFont val="Cambria"/>
        <family val="1"/>
      </rPr>
      <t>VICINITY TO SEA (15 KM FROM SEA)</t>
    </r>
  </si>
  <si>
    <r>
      <rPr>
        <sz val="12"/>
        <rFont val="Cambria"/>
        <family val="1"/>
      </rPr>
      <t xml:space="preserve">10. Environmental Regulation related features like FGD, ESP etc., : </t>
    </r>
    <r>
      <rPr>
        <b/>
        <sz val="12"/>
        <rFont val="Cambria"/>
        <family val="1"/>
      </rPr>
      <t>NIL</t>
    </r>
  </si>
  <si>
    <r>
      <rPr>
        <sz val="12"/>
        <rFont val="Cambria"/>
        <family val="1"/>
      </rPr>
      <t xml:space="preserve">Note 1: In case of deviation from specified conditions in Regulation, correction curve of
manufacturer may also be submitted. : </t>
    </r>
    <r>
      <rPr>
        <b/>
        <sz val="12"/>
        <rFont val="Cambria"/>
        <family val="1"/>
      </rPr>
      <t>NA</t>
    </r>
  </si>
  <si>
    <t>45days</t>
  </si>
  <si>
    <t xml:space="preserve">45days </t>
  </si>
  <si>
    <t>Petitioner: PUDUCHERY POWER CORPRATION LIMITED</t>
  </si>
  <si>
    <r>
      <t xml:space="preserve"> </t>
    </r>
    <r>
      <rPr>
        <sz val="12"/>
        <color indexed="8"/>
        <rFont val="Cambria"/>
        <family val="1"/>
      </rPr>
      <t>TARIFF PETITION FOR FOR THE FY 2022-25</t>
    </r>
  </si>
  <si>
    <t xml:space="preserve">Prayer:i) Approve the tariff for the year 2022-25 as brought out in this Petition as detailed below at 85% PLF.
  Fixed cost F Y 2022-23  -            Rs  35.84 Crores per annum
                     FY 2023-24             _  Rs  37.15 Crores per annum
                     FY 2024-25             _  Rs  38.55 Crores per annum
  Variable Energy Charges - As per formula in CERC regulation 2019-
                                                                        24 clause 43(2)(b)with normative SHR 
                                                                        of 2646 Kcal/kwh and  normative AUX 
                                                                        of  5%. 
             ii)Allow the “Normative Annual Plant Availability Factor” @  85%  as per the formula laid down in the CERC Regulation 2019-24 vide clause No.42(3) for  Karaikal Power Station for the year 2022-259 for full fixed cost recovery with the following   a) Peak period of the day (4 hours) : 1800 hrs to 2200 hrs,
            b) Off peak period hours of the day( 20 hours: 0000 hrs to 1800hrs &amp; 2200 hrs to 2400 hrs,
            c) High demand season(3 months) : April , May &amp; June,
            d)Low demand season(9 months): January, February,
            iii)Allow capital cost as prayed by the Petitioner.
iv) Allow the recovery of filing fees as and when paid to the Hon’ble Commission and publication expenses from the beneficiary.
v) Pass any other order in this regard as the Hon’ble Commission may find appropriate in the circumstances pleaded above. 
</t>
  </si>
  <si>
    <t xml:space="preserve">The Superintending Engineer-cum-HOD,
  Electricity Department, Govt of Puducherry
</t>
  </si>
  <si>
    <t>MENTIONED  IN THE PRAYER</t>
  </si>
  <si>
    <r>
      <rPr>
        <b/>
        <sz val="12"/>
        <color indexed="8"/>
        <rFont val="Cambria"/>
        <family val="1"/>
      </rPr>
      <t xml:space="preserve"> M</t>
    </r>
    <r>
      <rPr>
        <b/>
        <i/>
        <sz val="12"/>
        <color indexed="8"/>
        <rFont val="Cambria"/>
        <family val="1"/>
      </rPr>
      <t>ENTIONED IN THE TARIFF CALCULATION SHEET</t>
    </r>
  </si>
  <si>
    <t>Rate of Interest %</t>
  </si>
  <si>
    <t>Interest on Working Capital(Rs IN CR)</t>
  </si>
  <si>
    <t>FORMAT-5G</t>
  </si>
  <si>
    <t>Details of loans interest &amp; Finance Charges for the year</t>
  </si>
  <si>
    <t>Particulars (source)</t>
  </si>
  <si>
    <t>Opening Balance</t>
  </si>
  <si>
    <t>Rate of Interest</t>
  </si>
  <si>
    <t>Addition during the year</t>
  </si>
  <si>
    <t>Repayment durng the year</t>
  </si>
  <si>
    <t>Closing balance</t>
  </si>
  <si>
    <t>Amount of interest paid</t>
  </si>
  <si>
    <t>Ensuing year (Projectsion)</t>
  </si>
  <si>
    <t>SLR Bonds</t>
  </si>
  <si>
    <t>Non SLR Bonds</t>
  </si>
  <si>
    <t>LIC</t>
  </si>
  <si>
    <t>REC</t>
  </si>
  <si>
    <t>Commercial Banks</t>
  </si>
  <si>
    <t>Bills discounting</t>
  </si>
  <si>
    <t>Lease rental</t>
  </si>
  <si>
    <t>PFC</t>
  </si>
  <si>
    <t>GPF</t>
  </si>
  <si>
    <t>CSS</t>
  </si>
  <si>
    <t>Working capital loan</t>
  </si>
  <si>
    <t>Others</t>
  </si>
  <si>
    <t>Add.Govt. loan</t>
  </si>
  <si>
    <t xml:space="preserve"> -State</t>
  </si>
  <si>
    <t xml:space="preserve"> -Central Govt. (Total)</t>
  </si>
  <si>
    <t>T (3+4)</t>
  </si>
  <si>
    <t>Less Capitalisation</t>
  </si>
  <si>
    <t>Net Interest</t>
  </si>
  <si>
    <t>Add prior period</t>
  </si>
  <si>
    <t>Total Interest</t>
  </si>
  <si>
    <t>Finance charges</t>
  </si>
  <si>
    <t>Total interst and finance charges</t>
  </si>
  <si>
    <t>Format-6G</t>
  </si>
  <si>
    <t>Information regarding restructuring of outstanding loans during the year</t>
  </si>
  <si>
    <t>Source of loan</t>
  </si>
  <si>
    <t xml:space="preserve">Amount of original loan </t>
  </si>
  <si>
    <t>Old rate of interest</t>
  </si>
  <si>
    <t>Amount already restructured</t>
  </si>
  <si>
    <t>Revised rate of interest</t>
  </si>
  <si>
    <t>Amount now being restructured</t>
  </si>
  <si>
    <t>New rate of interests</t>
  </si>
  <si>
    <t>(Rs. in crore)</t>
  </si>
  <si>
    <t>(Rs. in Crore)</t>
  </si>
  <si>
    <t>(Rs.in Crores)</t>
  </si>
  <si>
    <t>Rs. 166.64 Cr.</t>
  </si>
  <si>
    <t>FORMAT-8G</t>
  </si>
  <si>
    <t>Name of the Power Station: Karaikal Power Station</t>
  </si>
  <si>
    <t>Calculation of Advance Against Depreciation</t>
  </si>
  <si>
    <t>Year</t>
  </si>
  <si>
    <t>X</t>
  </si>
  <si>
    <t>X+2</t>
  </si>
  <si>
    <t>Revised</t>
  </si>
  <si>
    <t>1/10th of the loan (s)</t>
  </si>
  <si>
    <t>Repayment of the Loan(s) as considered for working out Interest on Loan</t>
  </si>
  <si>
    <t>Minimum of the Above</t>
  </si>
  <si>
    <t>Less:Depreciation during the year</t>
  </si>
  <si>
    <t>Cumulative Repayment of the Loan (s) as considered for working out Interest on Loan</t>
  </si>
  <si>
    <t>Less: Cumulative Depreciation</t>
  </si>
  <si>
    <t>Advance Against Depreciation (minimum of A or B)</t>
  </si>
  <si>
    <t>Assets value for the FY 2020-21</t>
  </si>
  <si>
    <t>Assets value for the FY 2021-22</t>
  </si>
  <si>
    <t>Assets value for the FY 2022-23</t>
  </si>
  <si>
    <t>Assets value for the FY 2023-24</t>
  </si>
  <si>
    <t>Assets value for the FY 2024-25</t>
  </si>
  <si>
    <t>Accumulated depreciation Amount(FY 2023-2025 periods)</t>
  </si>
  <si>
    <t>Rs.166.64</t>
  </si>
  <si>
    <t xml:space="preserve">                       </t>
  </si>
  <si>
    <t>Current year (as per JERC order) (2022-23)</t>
  </si>
  <si>
    <t>Projected year (2023-24)</t>
  </si>
  <si>
    <t>As per SBI mclr as per march 2022</t>
  </si>
  <si>
    <t>As per JERC order dtd 31.03.2021</t>
  </si>
  <si>
    <t>As per enclosed fuel cost sheet for FY 2022-23 as per Sept'2022</t>
  </si>
  <si>
    <t>As per JERC order dtd 31.03.2015 &amp; 23.05.2016 &amp; 31.03.2017&amp; 31.3.2022</t>
  </si>
  <si>
    <t>(As per revised capital cost of Rs.164.44 crores working)</t>
  </si>
  <si>
    <t>Projected year 2024-25</t>
  </si>
  <si>
    <t xml:space="preserve"> TARIFF CALCULATION FOR THE TARIFF PERIOD 2024-25</t>
  </si>
  <si>
    <t>1. The Fixed charges has been given for the tariff period 2022-23 &amp; 2023-24 as per the tariff order</t>
  </si>
  <si>
    <t>ANNUAL REVENUE REQUIREMENT FOR THE YEAR 2024-2025</t>
  </si>
  <si>
    <t>ANNUAL REVENUE REQUIREMENT FOR THE YEAR 2024-25</t>
  </si>
  <si>
    <t>Cureent Year</t>
  </si>
  <si>
    <t>For Preceeding 4th  Month (Sept'23)</t>
  </si>
  <si>
    <t>For Preceeding 3rd Month (Aug'23)</t>
  </si>
  <si>
    <t>For Preceeding 2nd Month (Jul'23)</t>
  </si>
  <si>
    <t>For Preceeding 1st Month (Jun'23)</t>
  </si>
  <si>
    <t>Capital cost of the Generating Station( as on 01.04.2024)</t>
  </si>
  <si>
    <t>Total Capital cost of the Generating Station   ( as on 01.04.2025)</t>
  </si>
  <si>
    <t>1 yrs</t>
  </si>
  <si>
    <t>Previous year</t>
  </si>
  <si>
    <t>Weighted average dep. for 24-25 is Rs.2.25 crores i.e. (140.86-138.61=2.25)</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</si>
</sst>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
    <numFmt numFmtId="166" formatCode="0.0"/>
    <numFmt numFmtId="167" formatCode="m\.d\.yy;@"/>
    <numFmt numFmtId="168" formatCode="0.000"/>
    <numFmt numFmtId="169" formatCode="_(* #,##0_);_(* \(#,##0\);_(* &quot;-&quot;??_);_(@_)"/>
    <numFmt numFmtId="170" formatCode="_(* #,##0.000_);_(* \(#,##0.000\);_(* &quot;-&quot;??_);_(@_)"/>
    <numFmt numFmtId="171" formatCode="0.0000"/>
  </numFmts>
  <fonts count="125">
    <font>
      <sz val="10"/>
      <color rgb="FF000000"/>
      <name val="Times New Roman"/>
      <family val="0"/>
    </font>
    <font>
      <sz val="11"/>
      <color indexed="8"/>
      <name val="Calibri"/>
      <family val="2"/>
    </font>
    <font>
      <b/>
      <sz val="12"/>
      <name val="Cambria"/>
      <family val="0"/>
    </font>
    <font>
      <sz val="12"/>
      <name val="Cambria"/>
      <family val="0"/>
    </font>
    <font>
      <b/>
      <sz val="11"/>
      <name val="Cambria"/>
      <family val="0"/>
    </font>
    <font>
      <sz val="11"/>
      <name val="Cambria"/>
      <family val="0"/>
    </font>
    <font>
      <b/>
      <sz val="9"/>
      <name val="Cambria"/>
      <family val="0"/>
    </font>
    <font>
      <sz val="10"/>
      <name val="Cambria"/>
      <family val="0"/>
    </font>
    <font>
      <sz val="11.5"/>
      <name val="Cambria"/>
      <family val="0"/>
    </font>
    <font>
      <i/>
      <sz val="12"/>
      <name val="Palatino Linotype"/>
      <family val="0"/>
    </font>
    <font>
      <b/>
      <u val="single"/>
      <sz val="12"/>
      <name val="Cambria"/>
      <family val="1"/>
    </font>
    <font>
      <vertAlign val="superscript"/>
      <sz val="8"/>
      <name val="Cambria"/>
      <family val="1"/>
    </font>
    <font>
      <u val="single"/>
      <sz val="12"/>
      <name val="Times New Roman"/>
      <family val="1"/>
    </font>
    <font>
      <sz val="8"/>
      <name val="Cambria"/>
      <family val="1"/>
    </font>
    <font>
      <u val="single"/>
      <sz val="12"/>
      <name val="Cambria"/>
      <family val="1"/>
    </font>
    <font>
      <b/>
      <vertAlign val="superscript"/>
      <sz val="8"/>
      <name val="Cambria"/>
      <family val="1"/>
    </font>
    <font>
      <vertAlign val="superscript"/>
      <sz val="7"/>
      <name val="Cambria"/>
      <family val="1"/>
    </font>
    <font>
      <b/>
      <vertAlign val="superscript"/>
      <sz val="7"/>
      <name val="Cambria"/>
      <family val="1"/>
    </font>
    <font>
      <u val="single"/>
      <vertAlign val="superscript"/>
      <sz val="8"/>
      <name val="Times New Roman"/>
      <family val="1"/>
    </font>
    <font>
      <sz val="11"/>
      <name val="Calibri"/>
      <family val="1"/>
    </font>
    <font>
      <b/>
      <sz val="14"/>
      <name val="Cambria"/>
      <family val="1"/>
    </font>
    <font>
      <sz val="10"/>
      <name val="Arial"/>
      <family val="0"/>
    </font>
    <font>
      <b/>
      <sz val="11"/>
      <color indexed="10"/>
      <name val="Calibri"/>
      <family val="2"/>
    </font>
    <font>
      <b/>
      <sz val="11"/>
      <color indexed="8"/>
      <name val="Calibri"/>
      <family val="2"/>
    </font>
    <font>
      <sz val="11"/>
      <color indexed="10"/>
      <name val="Calibri"/>
      <family val="2"/>
    </font>
    <font>
      <b/>
      <sz val="11"/>
      <color indexed="30"/>
      <name val="Calibri"/>
      <family val="2"/>
    </font>
    <font>
      <b/>
      <sz val="11"/>
      <name val="Calibri"/>
      <family val="2"/>
    </font>
    <font>
      <b/>
      <sz val="10"/>
      <color indexed="10"/>
      <name val="Calibri"/>
      <family val="2"/>
    </font>
    <font>
      <sz val="16"/>
      <color indexed="8"/>
      <name val="Calibri"/>
      <family val="2"/>
    </font>
    <font>
      <b/>
      <sz val="10"/>
      <name val="Arial"/>
      <family val="2"/>
    </font>
    <font>
      <sz val="20"/>
      <name val="Arial"/>
      <family val="2"/>
    </font>
    <font>
      <sz val="16"/>
      <color indexed="10"/>
      <name val="Arial"/>
      <family val="2"/>
    </font>
    <font>
      <sz val="10"/>
      <color indexed="8"/>
      <name val="Arial"/>
      <family val="2"/>
    </font>
    <font>
      <b/>
      <sz val="10"/>
      <color indexed="8"/>
      <name val="Arial"/>
      <family val="2"/>
    </font>
    <font>
      <sz val="10"/>
      <color indexed="10"/>
      <name val="Arial"/>
      <family val="2"/>
    </font>
    <font>
      <b/>
      <u val="single"/>
      <sz val="10"/>
      <color indexed="8"/>
      <name val="Arial"/>
      <family val="2"/>
    </font>
    <font>
      <sz val="9"/>
      <color indexed="8"/>
      <name val="Arial"/>
      <family val="2"/>
    </font>
    <font>
      <sz val="12"/>
      <name val="Arial"/>
      <family val="2"/>
    </font>
    <font>
      <b/>
      <u val="single"/>
      <sz val="10"/>
      <name val="Arial"/>
      <family val="2"/>
    </font>
    <font>
      <sz val="12"/>
      <color indexed="10"/>
      <name val="Arial"/>
      <family val="2"/>
    </font>
    <font>
      <b/>
      <sz val="12"/>
      <name val="Arial"/>
      <family val="2"/>
    </font>
    <font>
      <sz val="14"/>
      <color indexed="10"/>
      <name val="Arial"/>
      <family val="2"/>
    </font>
    <font>
      <sz val="12"/>
      <name val="Tahoma"/>
      <family val="2"/>
    </font>
    <font>
      <b/>
      <sz val="12"/>
      <name val="Tahoma"/>
      <family val="2"/>
    </font>
    <font>
      <b/>
      <u val="single"/>
      <sz val="12"/>
      <name val="Tahoma"/>
      <family val="2"/>
    </font>
    <font>
      <b/>
      <u val="single"/>
      <vertAlign val="superscript"/>
      <sz val="12"/>
      <name val="Tahoma"/>
      <family val="2"/>
    </font>
    <font>
      <b/>
      <sz val="10"/>
      <name val="Tahoma"/>
      <family val="2"/>
    </font>
    <font>
      <b/>
      <sz val="8"/>
      <name val="Arial"/>
      <family val="2"/>
    </font>
    <font>
      <b/>
      <sz val="11"/>
      <name val="Arial"/>
      <family val="2"/>
    </font>
    <font>
      <sz val="9"/>
      <name val="Tahoma"/>
      <family val="2"/>
    </font>
    <font>
      <b/>
      <sz val="9"/>
      <name val="Tahoma"/>
      <family val="2"/>
    </font>
    <font>
      <sz val="10"/>
      <name val="Tahoma"/>
      <family val="2"/>
    </font>
    <font>
      <sz val="11"/>
      <color indexed="10"/>
      <name val="Arial"/>
      <family val="2"/>
    </font>
    <font>
      <sz val="12"/>
      <color indexed="10"/>
      <name val="Tahoma"/>
      <family val="2"/>
    </font>
    <font>
      <vertAlign val="superscript"/>
      <sz val="12"/>
      <name val="Tahoma"/>
      <family val="2"/>
    </font>
    <font>
      <sz val="10"/>
      <color indexed="53"/>
      <name val="Arial"/>
      <family val="2"/>
    </font>
    <font>
      <sz val="16"/>
      <name val="Arial"/>
      <family val="2"/>
    </font>
    <font>
      <b/>
      <sz val="14"/>
      <name val="Bookman Old Style"/>
      <family val="1"/>
    </font>
    <font>
      <sz val="14"/>
      <name val="Bookman Old Style"/>
      <family val="1"/>
    </font>
    <font>
      <sz val="10"/>
      <name val="Bookman Old Style"/>
      <family val="1"/>
    </font>
    <font>
      <u val="single"/>
      <sz val="10"/>
      <color indexed="12"/>
      <name val="Arial"/>
      <family val="2"/>
    </font>
    <font>
      <b/>
      <sz val="16"/>
      <color indexed="8"/>
      <name val="Calibri"/>
      <family val="2"/>
    </font>
    <font>
      <b/>
      <sz val="14"/>
      <color indexed="8"/>
      <name val="Calibri"/>
      <family val="2"/>
    </font>
    <font>
      <b/>
      <sz val="9"/>
      <color indexed="8"/>
      <name val="Calibri"/>
      <family val="2"/>
    </font>
    <font>
      <sz val="9"/>
      <color indexed="8"/>
      <name val="Calibri"/>
      <family val="2"/>
    </font>
    <font>
      <sz val="9"/>
      <name val="Calibri"/>
      <family val="2"/>
    </font>
    <font>
      <sz val="9"/>
      <name val="Arial"/>
      <family val="2"/>
    </font>
    <font>
      <sz val="12"/>
      <color indexed="8"/>
      <name val="Cambria"/>
      <family val="1"/>
    </font>
    <font>
      <b/>
      <sz val="12"/>
      <color indexed="8"/>
      <name val="Cambria"/>
      <family val="1"/>
    </font>
    <font>
      <sz val="12"/>
      <name val="Times New Roman"/>
      <family val="0"/>
    </font>
    <font>
      <b/>
      <i/>
      <sz val="12"/>
      <color indexed="8"/>
      <name val="Cambria"/>
      <family val="1"/>
    </font>
    <font>
      <b/>
      <sz val="14"/>
      <name val="Arial"/>
      <family val="2"/>
    </font>
    <font>
      <sz val="10"/>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mbria"/>
      <family val="2"/>
    </font>
    <font>
      <sz val="11"/>
      <color indexed="8"/>
      <name val="Cambria"/>
      <family val="2"/>
    </font>
    <font>
      <sz val="14"/>
      <color indexed="8"/>
      <name val="Times New Roman"/>
      <family val="1"/>
    </font>
    <font>
      <sz val="10"/>
      <color indexed="9"/>
      <name val="Arial"/>
      <family val="2"/>
    </font>
    <font>
      <sz val="12"/>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mbria"/>
      <family val="2"/>
    </font>
    <font>
      <b/>
      <sz val="12"/>
      <color rgb="FF000000"/>
      <name val="Cambria"/>
      <family val="2"/>
    </font>
    <font>
      <b/>
      <sz val="11"/>
      <color rgb="FF000000"/>
      <name val="Cambria"/>
      <family val="2"/>
    </font>
    <font>
      <sz val="11"/>
      <color rgb="FF000000"/>
      <name val="Cambria"/>
      <family val="2"/>
    </font>
    <font>
      <sz val="14"/>
      <color rgb="FF000000"/>
      <name val="Times New Roman"/>
      <family val="1"/>
    </font>
    <font>
      <b/>
      <sz val="11"/>
      <color rgb="FFFF0000"/>
      <name val="Calibri"/>
      <family val="2"/>
    </font>
    <font>
      <sz val="10"/>
      <color theme="0"/>
      <name val="Arial"/>
      <family val="2"/>
    </font>
    <font>
      <sz val="12"/>
      <color rgb="FF000000"/>
      <name val="Times New Roman"/>
      <family val="1"/>
    </font>
    <font>
      <sz val="10"/>
      <color rgb="FF000000"/>
      <name val="Arial"/>
      <family val="2"/>
    </font>
    <font>
      <sz val="10"/>
      <color theme="1"/>
      <name val="Arial"/>
      <family val="2"/>
    </font>
    <font>
      <b/>
      <sz val="10"/>
      <color theme="1"/>
      <name val="Arial"/>
      <family val="2"/>
    </font>
    <font>
      <sz val="9"/>
      <color theme="1"/>
      <name val="Arial"/>
      <family val="2"/>
    </font>
    <font>
      <b/>
      <u val="single"/>
      <sz val="10"/>
      <color theme="1"/>
      <name val="Arial"/>
      <family val="2"/>
    </font>
    <font>
      <b/>
      <sz val="10"/>
      <color rgb="FF000000"/>
      <name val="Times New Roman"/>
      <family val="1"/>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thin"/>
      <right/>
      <top/>
      <bottom style="thin"/>
    </border>
    <border>
      <left style="thin"/>
      <right/>
      <top style="thin"/>
      <bottom/>
    </border>
    <border>
      <left style="thin"/>
      <right/>
      <top/>
      <bottom/>
    </border>
    <border>
      <left style="medium"/>
      <right style="thin"/>
      <top style="thin"/>
      <bottom/>
    </border>
    <border>
      <left style="medium"/>
      <right style="thin"/>
      <top style="thin"/>
      <bottom style="thin"/>
    </border>
    <border>
      <left style="medium"/>
      <right/>
      <top style="thin"/>
      <bottom style="thin"/>
    </border>
    <border>
      <left/>
      <right style="thin"/>
      <top/>
      <bottom style="thin"/>
    </border>
    <border>
      <left/>
      <right/>
      <top style="thin"/>
      <bottom/>
    </border>
    <border>
      <left/>
      <right style="thin"/>
      <top style="thin"/>
      <bottom/>
    </border>
    <border>
      <left/>
      <right style="thin"/>
      <top/>
      <bottom/>
    </border>
    <border>
      <left/>
      <right/>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medium"/>
      <right/>
      <top/>
      <bottom style="medium"/>
    </border>
    <border>
      <left/>
      <right style="medium"/>
      <top/>
      <bottom style="medium"/>
    </border>
    <border>
      <left style="medium"/>
      <right/>
      <top style="medium"/>
      <bottom/>
    </border>
    <border>
      <left/>
      <right style="medium"/>
      <top style="medium"/>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60"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21"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21" fillId="0" borderId="0">
      <alignment/>
      <protection/>
    </xf>
    <xf numFmtId="0" fontId="93" fillId="0" borderId="0">
      <alignment/>
      <protection/>
    </xf>
    <xf numFmtId="0" fontId="1"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560">
    <xf numFmtId="0" fontId="0" fillId="0" borderId="0" xfId="0" applyFill="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Fill="1" applyBorder="1" applyAlignment="1">
      <alignment horizontal="left" vertical="top" wrapText="1"/>
    </xf>
    <xf numFmtId="0" fontId="0" fillId="0" borderId="10" xfId="0" applyFill="1" applyBorder="1" applyAlignment="1">
      <alignment horizontal="left" vertical="center" wrapText="1"/>
    </xf>
    <xf numFmtId="0" fontId="2" fillId="0" borderId="10" xfId="0" applyFont="1" applyFill="1" applyBorder="1" applyAlignment="1">
      <alignment horizontal="left" vertical="top" wrapText="1" indent="2"/>
    </xf>
    <xf numFmtId="0" fontId="2" fillId="0" borderId="10" xfId="0" applyFont="1" applyFill="1" applyBorder="1" applyAlignment="1">
      <alignment horizontal="left" vertical="top" wrapText="1" indent="1"/>
    </xf>
    <xf numFmtId="1" fontId="110" fillId="0" borderId="10" xfId="0" applyNumberFormat="1" applyFont="1" applyFill="1" applyBorder="1" applyAlignment="1">
      <alignment horizontal="center" vertical="top" shrinkToFit="1"/>
    </xf>
    <xf numFmtId="165" fontId="110" fillId="0" borderId="10" xfId="0" applyNumberFormat="1" applyFont="1" applyFill="1" applyBorder="1" applyAlignment="1">
      <alignment horizontal="center" vertical="top" shrinkToFit="1"/>
    </xf>
    <xf numFmtId="1" fontId="111" fillId="0" borderId="10" xfId="0" applyNumberFormat="1" applyFont="1" applyFill="1" applyBorder="1" applyAlignment="1">
      <alignment horizontal="center" vertical="top" shrinkToFit="1"/>
    </xf>
    <xf numFmtId="166" fontId="111" fillId="0" borderId="10" xfId="0" applyNumberFormat="1" applyFont="1" applyFill="1" applyBorder="1" applyAlignment="1">
      <alignment horizontal="center" vertical="top" shrinkToFit="1"/>
    </xf>
    <xf numFmtId="0" fontId="3" fillId="0" borderId="10" xfId="0" applyFont="1" applyFill="1" applyBorder="1" applyAlignment="1">
      <alignment horizontal="center" vertical="top" wrapText="1"/>
    </xf>
    <xf numFmtId="0" fontId="0" fillId="0" borderId="11" xfId="0" applyFill="1" applyBorder="1" applyAlignment="1">
      <alignment horizontal="left" wrapText="1"/>
    </xf>
    <xf numFmtId="1" fontId="111" fillId="0" borderId="10" xfId="0" applyNumberFormat="1" applyFont="1" applyFill="1" applyBorder="1" applyAlignment="1">
      <alignment horizontal="left" vertical="top" indent="2" shrinkToFit="1"/>
    </xf>
    <xf numFmtId="1" fontId="110" fillId="0" borderId="10" xfId="0" applyNumberFormat="1" applyFont="1" applyFill="1" applyBorder="1" applyAlignment="1">
      <alignment horizontal="left" vertical="top" indent="2" shrinkToFit="1"/>
    </xf>
    <xf numFmtId="0" fontId="4" fillId="0" borderId="10" xfId="0" applyFont="1" applyFill="1" applyBorder="1" applyAlignment="1">
      <alignment horizontal="center" vertical="top" wrapText="1"/>
    </xf>
    <xf numFmtId="1" fontId="112" fillId="0" borderId="10" xfId="0" applyNumberFormat="1" applyFont="1" applyFill="1" applyBorder="1" applyAlignment="1">
      <alignment horizontal="center" vertical="top" shrinkToFi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indent="4"/>
    </xf>
    <xf numFmtId="0" fontId="5" fillId="0" borderId="10" xfId="0" applyFont="1" applyFill="1" applyBorder="1" applyAlignment="1">
      <alignment horizontal="left" vertical="top" wrapText="1" indent="8"/>
    </xf>
    <xf numFmtId="1" fontId="111" fillId="0" borderId="10" xfId="0" applyNumberFormat="1" applyFont="1" applyFill="1" applyBorder="1" applyAlignment="1">
      <alignment horizontal="right" vertical="top" indent="1" shrinkToFit="1"/>
    </xf>
    <xf numFmtId="0" fontId="6" fillId="0" borderId="10" xfId="0" applyFont="1" applyFill="1" applyBorder="1" applyAlignment="1">
      <alignment horizontal="center" vertical="center" wrapText="1"/>
    </xf>
    <xf numFmtId="0" fontId="0" fillId="0" borderId="10" xfId="0" applyFill="1" applyBorder="1" applyAlignment="1">
      <alignment horizontal="left" vertical="top" wrapText="1" indent="1"/>
    </xf>
    <xf numFmtId="0" fontId="6" fillId="0" borderId="10" xfId="0" applyFont="1" applyFill="1" applyBorder="1" applyAlignment="1">
      <alignment horizontal="right" vertical="center" wrapText="1"/>
    </xf>
    <xf numFmtId="0" fontId="0" fillId="0" borderId="10" xfId="0" applyFill="1" applyBorder="1" applyAlignment="1">
      <alignment horizontal="center" vertical="top"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1" fontId="113" fillId="0" borderId="10" xfId="0" applyNumberFormat="1" applyFont="1" applyFill="1" applyBorder="1" applyAlignment="1">
      <alignment horizontal="center" vertical="top" shrinkToFit="1"/>
    </xf>
    <xf numFmtId="0" fontId="2" fillId="0" borderId="0" xfId="0" applyFont="1" applyFill="1" applyBorder="1" applyAlignment="1">
      <alignment horizontal="left" wrapText="1" indent="6"/>
    </xf>
    <xf numFmtId="0" fontId="2" fillId="0" borderId="10" xfId="0" applyFont="1" applyFill="1" applyBorder="1" applyAlignment="1">
      <alignment horizontal="left" vertical="top" wrapText="1" indent="3"/>
    </xf>
    <xf numFmtId="0" fontId="0" fillId="0" borderId="10" xfId="0" applyFill="1" applyBorder="1" applyAlignment="1">
      <alignment horizontal="left" vertical="top" wrapText="1" indent="2"/>
    </xf>
    <xf numFmtId="0" fontId="0" fillId="0" borderId="0" xfId="0" applyFill="1" applyBorder="1" applyAlignment="1">
      <alignment horizontal="left" vertical="center" wrapText="1" indent="1"/>
    </xf>
    <xf numFmtId="0" fontId="2" fillId="0" borderId="10" xfId="0" applyFont="1" applyFill="1" applyBorder="1" applyAlignment="1">
      <alignment horizontal="left" vertical="top" wrapText="1" indent="7"/>
    </xf>
    <xf numFmtId="0" fontId="4" fillId="0" borderId="10" xfId="0" applyFont="1" applyFill="1" applyBorder="1" applyAlignment="1">
      <alignment horizontal="left" vertical="top" wrapText="1" indent="1"/>
    </xf>
    <xf numFmtId="0" fontId="4" fillId="0" borderId="10" xfId="0" applyFont="1" applyFill="1" applyBorder="1" applyAlignment="1">
      <alignment horizontal="right" vertical="top" wrapText="1"/>
    </xf>
    <xf numFmtId="0" fontId="2" fillId="0" borderId="10" xfId="0" applyFont="1" applyFill="1" applyBorder="1" applyAlignment="1">
      <alignment horizontal="right" vertical="top" wrapText="1" indent="1"/>
    </xf>
    <xf numFmtId="0" fontId="2" fillId="0" borderId="10" xfId="0" applyFont="1" applyFill="1" applyBorder="1" applyAlignment="1">
      <alignment horizontal="center" vertical="center" wrapText="1"/>
    </xf>
    <xf numFmtId="1" fontId="110" fillId="0" borderId="10" xfId="0" applyNumberFormat="1" applyFont="1" applyFill="1" applyBorder="1" applyAlignment="1">
      <alignment horizontal="right" vertical="top" indent="1" shrinkToFit="1"/>
    </xf>
    <xf numFmtId="0" fontId="2" fillId="0" borderId="0" xfId="0" applyFont="1" applyFill="1" applyBorder="1" applyAlignment="1">
      <alignment horizontal="left" vertical="top" wrapText="1" indent="8"/>
    </xf>
    <xf numFmtId="165" fontId="110" fillId="0" borderId="10" xfId="0" applyNumberFormat="1" applyFont="1" applyFill="1" applyBorder="1" applyAlignment="1">
      <alignment horizontal="left" vertical="top" indent="2" shrinkToFit="1"/>
    </xf>
    <xf numFmtId="165" fontId="110" fillId="0" borderId="10" xfId="0" applyNumberFormat="1" applyFont="1" applyFill="1" applyBorder="1" applyAlignment="1">
      <alignment horizontal="left" vertical="top" indent="1" shrinkToFit="1"/>
    </xf>
    <xf numFmtId="165" fontId="110" fillId="0" borderId="10" xfId="0" applyNumberFormat="1" applyFont="1" applyFill="1" applyBorder="1" applyAlignment="1">
      <alignment horizontal="left" vertical="center" indent="1" shrinkToFit="1"/>
    </xf>
    <xf numFmtId="0" fontId="0" fillId="0" borderId="0" xfId="0" applyFill="1" applyBorder="1" applyAlignment="1">
      <alignment horizontal="left" vertical="center" wrapText="1" indent="2"/>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indent="3"/>
    </xf>
    <xf numFmtId="166" fontId="110" fillId="0" borderId="10" xfId="0" applyNumberFormat="1" applyFont="1" applyFill="1" applyBorder="1" applyAlignment="1">
      <alignment horizontal="center" vertical="top" shrinkToFit="1"/>
    </xf>
    <xf numFmtId="0" fontId="0" fillId="0" borderId="10" xfId="0" applyFill="1" applyBorder="1" applyAlignment="1">
      <alignment horizontal="center" vertical="center" wrapText="1"/>
    </xf>
    <xf numFmtId="0" fontId="2" fillId="0" borderId="10" xfId="0" applyFont="1" applyFill="1" applyBorder="1" applyAlignment="1">
      <alignment horizontal="left" vertical="top" wrapText="1" indent="4"/>
    </xf>
    <xf numFmtId="0" fontId="7" fillId="0" borderId="10" xfId="0" applyFont="1" applyFill="1" applyBorder="1" applyAlignment="1">
      <alignment horizontal="left" vertical="top" wrapText="1"/>
    </xf>
    <xf numFmtId="0" fontId="7" fillId="0" borderId="10" xfId="0" applyFont="1" applyFill="1" applyBorder="1" applyAlignment="1">
      <alignment horizontal="left" vertical="top" wrapText="1" indent="2"/>
    </xf>
    <xf numFmtId="1" fontId="110" fillId="0" borderId="10" xfId="0" applyNumberFormat="1" applyFont="1" applyFill="1" applyBorder="1" applyAlignment="1">
      <alignment horizontal="left" vertical="top" shrinkToFit="1"/>
    </xf>
    <xf numFmtId="1" fontId="110" fillId="0" borderId="10" xfId="0" applyNumberFormat="1" applyFont="1" applyFill="1" applyBorder="1" applyAlignment="1">
      <alignment horizontal="left" vertical="center" shrinkToFi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top" wrapText="1" indent="2"/>
    </xf>
    <xf numFmtId="1" fontId="113" fillId="0" borderId="10" xfId="0" applyNumberFormat="1" applyFont="1" applyFill="1" applyBorder="1" applyAlignment="1">
      <alignment horizontal="left" vertical="top" indent="2" shrinkToFit="1"/>
    </xf>
    <xf numFmtId="165" fontId="110"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center" wrapText="1"/>
    </xf>
    <xf numFmtId="0" fontId="2" fillId="0" borderId="10" xfId="0" applyFont="1" applyFill="1" applyBorder="1" applyAlignment="1">
      <alignment horizontal="left" vertical="center" wrapText="1" indent="2"/>
    </xf>
    <xf numFmtId="0" fontId="2" fillId="0" borderId="10" xfId="0" applyFont="1" applyFill="1" applyBorder="1" applyAlignment="1">
      <alignment horizontal="left" vertical="center" wrapText="1" indent="4"/>
    </xf>
    <xf numFmtId="0" fontId="2" fillId="0" borderId="10" xfId="0" applyFont="1" applyFill="1" applyBorder="1" applyAlignment="1">
      <alignment horizontal="left" vertical="center" wrapText="1" indent="7"/>
    </xf>
    <xf numFmtId="0" fontId="3" fillId="0" borderId="10" xfId="0" applyFont="1" applyFill="1" applyBorder="1" applyAlignment="1">
      <alignment horizontal="left" vertical="center" wrapText="1" indent="9"/>
    </xf>
    <xf numFmtId="0" fontId="2" fillId="0" borderId="10" xfId="0" applyFont="1" applyFill="1" applyBorder="1" applyAlignment="1">
      <alignment horizontal="left" vertical="center" wrapText="1" indent="1"/>
    </xf>
    <xf numFmtId="167" fontId="110" fillId="0" borderId="10" xfId="0" applyNumberFormat="1" applyFont="1" applyFill="1" applyBorder="1" applyAlignment="1">
      <alignment horizontal="center" vertical="top" shrinkToFit="1"/>
    </xf>
    <xf numFmtId="2" fontId="110" fillId="0" borderId="10" xfId="0" applyNumberFormat="1" applyFont="1" applyFill="1" applyBorder="1" applyAlignment="1">
      <alignment horizontal="center" vertical="top" shrinkToFit="1"/>
    </xf>
    <xf numFmtId="1" fontId="110" fillId="0" borderId="10" xfId="0" applyNumberFormat="1" applyFont="1" applyFill="1" applyBorder="1" applyAlignment="1">
      <alignment horizontal="left" vertical="top" indent="1" shrinkToFit="1"/>
    </xf>
    <xf numFmtId="0" fontId="3" fillId="0" borderId="10"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top" wrapText="1" indent="3"/>
    </xf>
    <xf numFmtId="166" fontId="113" fillId="0" borderId="10" xfId="0" applyNumberFormat="1" applyFont="1" applyFill="1" applyBorder="1" applyAlignment="1">
      <alignment horizontal="center" vertical="top" shrinkToFit="1"/>
    </xf>
    <xf numFmtId="167" fontId="113" fillId="0" borderId="10" xfId="0" applyNumberFormat="1" applyFont="1" applyFill="1" applyBorder="1" applyAlignment="1">
      <alignment horizontal="center" vertical="top" shrinkToFit="1"/>
    </xf>
    <xf numFmtId="166" fontId="112" fillId="0" borderId="10" xfId="0" applyNumberFormat="1" applyFont="1" applyFill="1" applyBorder="1" applyAlignment="1">
      <alignment horizontal="center" vertical="top" shrinkToFit="1"/>
    </xf>
    <xf numFmtId="2" fontId="113" fillId="0" borderId="10" xfId="0" applyNumberFormat="1" applyFont="1" applyFill="1" applyBorder="1" applyAlignment="1">
      <alignment horizontal="center" vertical="top" shrinkToFit="1"/>
    </xf>
    <xf numFmtId="0" fontId="5" fillId="0" borderId="10" xfId="0" applyFont="1" applyFill="1" applyBorder="1" applyAlignment="1">
      <alignment horizontal="left" vertical="top" wrapText="1" indent="1"/>
    </xf>
    <xf numFmtId="0" fontId="2" fillId="0" borderId="10" xfId="0" applyFont="1" applyFill="1" applyBorder="1" applyAlignment="1">
      <alignment horizontal="right" vertical="center" wrapText="1" indent="6"/>
    </xf>
    <xf numFmtId="0" fontId="2" fillId="0" borderId="10" xfId="0" applyFont="1" applyFill="1" applyBorder="1" applyAlignment="1">
      <alignment horizontal="right" vertical="top" wrapText="1" indent="7"/>
    </xf>
    <xf numFmtId="1" fontId="111" fillId="0" borderId="10" xfId="0" applyNumberFormat="1" applyFont="1" applyFill="1" applyBorder="1" applyAlignment="1">
      <alignment horizontal="left" vertical="top" indent="1" shrinkToFit="1"/>
    </xf>
    <xf numFmtId="0" fontId="2" fillId="0" borderId="10" xfId="0" applyFont="1" applyFill="1" applyBorder="1" applyAlignment="1">
      <alignment horizontal="left" vertical="top" wrapText="1" indent="8"/>
    </xf>
    <xf numFmtId="0" fontId="3" fillId="0" borderId="10" xfId="0" applyFont="1" applyFill="1" applyBorder="1" applyAlignment="1">
      <alignment horizontal="right" vertical="top" wrapText="1" indent="1"/>
    </xf>
    <xf numFmtId="1" fontId="110" fillId="0" borderId="10" xfId="0" applyNumberFormat="1" applyFont="1" applyFill="1" applyBorder="1" applyAlignment="1">
      <alignment horizontal="right" vertical="top" indent="2" shrinkToFit="1"/>
    </xf>
    <xf numFmtId="165" fontId="111" fillId="0" borderId="10" xfId="0" applyNumberFormat="1" applyFont="1" applyFill="1" applyBorder="1" applyAlignment="1">
      <alignment horizontal="right" vertical="top" indent="1" shrinkToFit="1"/>
    </xf>
    <xf numFmtId="0" fontId="0" fillId="0" borderId="0" xfId="0" applyFill="1" applyBorder="1" applyAlignment="1">
      <alignment horizontal="center" vertical="center" wrapText="1"/>
    </xf>
    <xf numFmtId="0" fontId="3" fillId="0" borderId="10" xfId="0" applyFont="1" applyFill="1" applyBorder="1" applyAlignment="1">
      <alignment horizontal="left" vertical="center" wrapText="1" indent="1"/>
    </xf>
    <xf numFmtId="0" fontId="0" fillId="0" borderId="10" xfId="0" applyFill="1" applyBorder="1" applyAlignment="1">
      <alignment horizontal="left" vertical="center" wrapText="1" indent="1"/>
    </xf>
    <xf numFmtId="0" fontId="11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1" fillId="0" borderId="0" xfId="57">
      <alignment/>
      <protection/>
    </xf>
    <xf numFmtId="0" fontId="93" fillId="0" borderId="0" xfId="59">
      <alignment/>
      <protection/>
    </xf>
    <xf numFmtId="0" fontId="93" fillId="0" borderId="12" xfId="59" applyBorder="1" applyAlignment="1">
      <alignment/>
      <protection/>
    </xf>
    <xf numFmtId="0" fontId="93" fillId="0" borderId="13" xfId="59" applyBorder="1" applyAlignment="1">
      <alignment/>
      <protection/>
    </xf>
    <xf numFmtId="0" fontId="22" fillId="0" borderId="0" xfId="59" applyFont="1" applyBorder="1" applyAlignment="1">
      <alignment vertical="center" wrapText="1"/>
      <protection/>
    </xf>
    <xf numFmtId="0" fontId="22" fillId="0" borderId="0" xfId="59" applyFont="1" applyFill="1" applyBorder="1" applyAlignment="1">
      <alignment horizontal="center" vertical="center" wrapText="1"/>
      <protection/>
    </xf>
    <xf numFmtId="2" fontId="93" fillId="0" borderId="0" xfId="59" applyNumberFormat="1" applyAlignment="1">
      <alignment horizontal="center" vertical="center"/>
      <protection/>
    </xf>
    <xf numFmtId="2" fontId="93" fillId="0" borderId="0" xfId="59" applyNumberFormat="1">
      <alignment/>
      <protection/>
    </xf>
    <xf numFmtId="2" fontId="23" fillId="0" borderId="0" xfId="59" applyNumberFormat="1" applyFont="1" applyAlignment="1">
      <alignment horizontal="center"/>
      <protection/>
    </xf>
    <xf numFmtId="0" fontId="93" fillId="0" borderId="0" xfId="59" applyAlignment="1">
      <alignment horizontal="center"/>
      <protection/>
    </xf>
    <xf numFmtId="0" fontId="93" fillId="0" borderId="0" xfId="59" applyAlignment="1">
      <alignment horizontal="center" vertical="center"/>
      <protection/>
    </xf>
    <xf numFmtId="2" fontId="93" fillId="0" borderId="0" xfId="59" applyNumberFormat="1" applyAlignment="1">
      <alignment horizontal="center"/>
      <protection/>
    </xf>
    <xf numFmtId="1" fontId="23" fillId="0" borderId="0" xfId="59" applyNumberFormat="1" applyFont="1" applyAlignment="1">
      <alignment horizontal="center" vertical="center"/>
      <protection/>
    </xf>
    <xf numFmtId="0" fontId="93" fillId="0" borderId="0" xfId="59" applyFont="1">
      <alignment/>
      <protection/>
    </xf>
    <xf numFmtId="2" fontId="93" fillId="0" borderId="0" xfId="59" applyNumberFormat="1" applyFill="1" applyBorder="1" applyAlignment="1">
      <alignment horizontal="center" vertical="center"/>
      <protection/>
    </xf>
    <xf numFmtId="16" fontId="24" fillId="0" borderId="0" xfId="59" applyNumberFormat="1" applyFont="1" applyBorder="1" applyAlignment="1">
      <alignment vertical="center"/>
      <protection/>
    </xf>
    <xf numFmtId="0" fontId="22" fillId="0" borderId="0" xfId="59" applyFont="1" applyBorder="1" applyAlignment="1">
      <alignment vertical="center"/>
      <protection/>
    </xf>
    <xf numFmtId="0" fontId="21" fillId="0" borderId="0" xfId="57" applyAlignment="1">
      <alignment horizontal="center" vertical="center"/>
      <protection/>
    </xf>
    <xf numFmtId="0" fontId="93" fillId="0" borderId="0" xfId="59" applyBorder="1" applyAlignment="1">
      <alignment vertical="center"/>
      <protection/>
    </xf>
    <xf numFmtId="0" fontId="93" fillId="0" borderId="0" xfId="59" applyBorder="1" applyAlignment="1">
      <alignment horizontal="center" vertical="center"/>
      <protection/>
    </xf>
    <xf numFmtId="1" fontId="19" fillId="0" borderId="0" xfId="59" applyNumberFormat="1" applyFont="1" applyBorder="1" applyAlignment="1">
      <alignment vertical="center"/>
      <protection/>
    </xf>
    <xf numFmtId="0" fontId="19" fillId="0" borderId="0" xfId="59" applyFont="1" applyBorder="1" applyAlignment="1">
      <alignment vertical="center"/>
      <protection/>
    </xf>
    <xf numFmtId="168" fontId="19" fillId="0" borderId="0" xfId="59" applyNumberFormat="1" applyFont="1" applyBorder="1" applyAlignment="1">
      <alignment vertical="center"/>
      <protection/>
    </xf>
    <xf numFmtId="16" fontId="25" fillId="0" borderId="0" xfId="59" applyNumberFormat="1" applyFont="1" applyBorder="1" applyAlignment="1">
      <alignment vertical="center"/>
      <protection/>
    </xf>
    <xf numFmtId="2" fontId="21" fillId="0" borderId="0" xfId="57" applyNumberFormat="1">
      <alignment/>
      <protection/>
    </xf>
    <xf numFmtId="0" fontId="93" fillId="0" borderId="14" xfId="59" applyBorder="1" applyAlignment="1">
      <alignment horizontal="center" vertical="center"/>
      <protection/>
    </xf>
    <xf numFmtId="2" fontId="108" fillId="0" borderId="14" xfId="59" applyNumberFormat="1" applyFont="1" applyBorder="1" applyAlignment="1">
      <alignment horizontal="center" vertical="center"/>
      <protection/>
    </xf>
    <xf numFmtId="0" fontId="108" fillId="0" borderId="14" xfId="59" applyFont="1" applyBorder="1" applyAlignment="1">
      <alignment horizontal="center"/>
      <protection/>
    </xf>
    <xf numFmtId="0" fontId="108" fillId="0" borderId="14" xfId="59" applyFont="1" applyBorder="1" applyAlignment="1">
      <alignment horizontal="center" vertical="center"/>
      <protection/>
    </xf>
    <xf numFmtId="2" fontId="93" fillId="0" borderId="14" xfId="59" applyNumberFormat="1" applyBorder="1" applyAlignment="1">
      <alignment horizontal="center"/>
      <protection/>
    </xf>
    <xf numFmtId="168" fontId="93" fillId="0" borderId="14" xfId="59" applyNumberFormat="1" applyBorder="1" applyAlignment="1">
      <alignment horizontal="center"/>
      <protection/>
    </xf>
    <xf numFmtId="0" fontId="23" fillId="33" borderId="14" xfId="59" applyFont="1" applyFill="1" applyBorder="1" applyAlignment="1">
      <alignment horizontal="center"/>
      <protection/>
    </xf>
    <xf numFmtId="0" fontId="93" fillId="0" borderId="14" xfId="59" applyBorder="1">
      <alignment/>
      <protection/>
    </xf>
    <xf numFmtId="2" fontId="23" fillId="0" borderId="15" xfId="59" applyNumberFormat="1" applyFont="1" applyBorder="1" applyAlignment="1">
      <alignment horizontal="center"/>
      <protection/>
    </xf>
    <xf numFmtId="2" fontId="1" fillId="0" borderId="15" xfId="59" applyNumberFormat="1" applyFont="1" applyBorder="1" applyAlignment="1">
      <alignment horizontal="center"/>
      <protection/>
    </xf>
    <xf numFmtId="0" fontId="23" fillId="0" borderId="14" xfId="59" applyFont="1" applyBorder="1" applyAlignment="1">
      <alignment horizontal="center" vertical="center"/>
      <protection/>
    </xf>
    <xf numFmtId="1" fontId="19" fillId="0" borderId="14" xfId="59" applyNumberFormat="1" applyFont="1" applyBorder="1" applyAlignment="1">
      <alignment horizontal="center" vertical="center"/>
      <protection/>
    </xf>
    <xf numFmtId="0" fontId="19" fillId="0" borderId="14" xfId="59" applyFont="1" applyBorder="1" applyAlignment="1">
      <alignment horizontal="center" vertical="center"/>
      <protection/>
    </xf>
    <xf numFmtId="0" fontId="26" fillId="0" borderId="14" xfId="59" applyFont="1" applyBorder="1" applyAlignment="1">
      <alignment horizontal="center" vertical="center"/>
      <protection/>
    </xf>
    <xf numFmtId="0" fontId="19" fillId="0" borderId="14" xfId="59" applyFont="1" applyBorder="1" applyAlignment="1">
      <alignment vertical="center"/>
      <protection/>
    </xf>
    <xf numFmtId="2" fontId="19" fillId="0" borderId="14" xfId="59" applyNumberFormat="1" applyFont="1" applyBorder="1" applyAlignment="1">
      <alignment horizontal="center"/>
      <protection/>
    </xf>
    <xf numFmtId="0" fontId="19" fillId="0" borderId="16" xfId="59" applyFont="1" applyBorder="1" applyAlignment="1">
      <alignment horizontal="center"/>
      <protection/>
    </xf>
    <xf numFmtId="16" fontId="25" fillId="0" borderId="14" xfId="59" applyNumberFormat="1" applyFont="1" applyBorder="1" applyAlignment="1">
      <alignment vertical="center"/>
      <protection/>
    </xf>
    <xf numFmtId="16" fontId="24" fillId="0" borderId="14" xfId="59" applyNumberFormat="1" applyFont="1" applyBorder="1" applyAlignment="1">
      <alignment horizontal="center" vertical="center"/>
      <protection/>
    </xf>
    <xf numFmtId="0" fontId="22" fillId="0" borderId="14" xfId="59" applyFont="1" applyBorder="1" applyAlignment="1">
      <alignment horizontal="center" vertical="center"/>
      <protection/>
    </xf>
    <xf numFmtId="0" fontId="93" fillId="0" borderId="14" xfId="59" applyBorder="1" applyAlignment="1">
      <alignment horizontal="center"/>
      <protection/>
    </xf>
    <xf numFmtId="0" fontId="93" fillId="0" borderId="15" xfId="59" applyBorder="1" applyAlignment="1">
      <alignment horizontal="center" vertical="center"/>
      <protection/>
    </xf>
    <xf numFmtId="1" fontId="19" fillId="0" borderId="15" xfId="59" applyNumberFormat="1" applyFont="1" applyBorder="1" applyAlignment="1">
      <alignment horizontal="center" vertical="center"/>
      <protection/>
    </xf>
    <xf numFmtId="1" fontId="26" fillId="34" borderId="14" xfId="59" applyNumberFormat="1" applyFont="1" applyFill="1" applyBorder="1" applyAlignment="1">
      <alignment horizontal="center"/>
      <protection/>
    </xf>
    <xf numFmtId="0" fontId="19" fillId="0" borderId="15" xfId="59" applyFont="1" applyBorder="1" applyAlignment="1">
      <alignment vertical="center"/>
      <protection/>
    </xf>
    <xf numFmtId="16" fontId="25" fillId="0" borderId="15" xfId="59" applyNumberFormat="1" applyFont="1" applyBorder="1" applyAlignment="1">
      <alignment vertical="center"/>
      <protection/>
    </xf>
    <xf numFmtId="0" fontId="23" fillId="0" borderId="16" xfId="59" applyFont="1" applyBorder="1" applyAlignment="1">
      <alignment horizontal="center" vertical="center"/>
      <protection/>
    </xf>
    <xf numFmtId="0" fontId="23" fillId="0" borderId="17" xfId="59" applyFont="1" applyBorder="1" applyAlignment="1">
      <alignment horizontal="center" vertical="center"/>
      <protection/>
    </xf>
    <xf numFmtId="168" fontId="19" fillId="0" borderId="14" xfId="59" applyNumberFormat="1" applyFont="1" applyBorder="1" applyAlignment="1">
      <alignment vertical="center"/>
      <protection/>
    </xf>
    <xf numFmtId="0" fontId="93" fillId="0" borderId="18" xfId="59" applyBorder="1" applyAlignment="1">
      <alignment horizontal="center" vertical="center"/>
      <protection/>
    </xf>
    <xf numFmtId="0" fontId="19" fillId="0" borderId="15" xfId="59" applyFont="1" applyBorder="1" applyAlignment="1">
      <alignment horizontal="center" vertical="center"/>
      <protection/>
    </xf>
    <xf numFmtId="0" fontId="23" fillId="0" borderId="17" xfId="59" applyFont="1" applyBorder="1" applyAlignment="1">
      <alignment horizontal="center"/>
      <protection/>
    </xf>
    <xf numFmtId="0" fontId="19" fillId="0" borderId="15" xfId="59" applyFont="1" applyBorder="1" applyAlignment="1">
      <alignment horizontal="center"/>
      <protection/>
    </xf>
    <xf numFmtId="0" fontId="19" fillId="0" borderId="14" xfId="59" applyFont="1" applyBorder="1" applyAlignment="1">
      <alignment horizontal="center"/>
      <protection/>
    </xf>
    <xf numFmtId="0" fontId="26" fillId="0" borderId="14" xfId="59" applyFont="1" applyBorder="1" applyAlignment="1">
      <alignment horizontal="center"/>
      <protection/>
    </xf>
    <xf numFmtId="0" fontId="108" fillId="0" borderId="18" xfId="59" applyFont="1" applyBorder="1" applyAlignment="1">
      <alignment horizontal="center"/>
      <protection/>
    </xf>
    <xf numFmtId="1" fontId="19" fillId="0" borderId="14" xfId="59" applyNumberFormat="1" applyFont="1" applyBorder="1" applyAlignment="1">
      <alignment horizontal="center"/>
      <protection/>
    </xf>
    <xf numFmtId="0" fontId="93" fillId="0" borderId="15" xfId="59" applyBorder="1" applyAlignment="1">
      <alignment horizontal="center"/>
      <protection/>
    </xf>
    <xf numFmtId="0" fontId="19" fillId="0" borderId="14" xfId="57" applyFont="1" applyBorder="1" applyAlignment="1">
      <alignment horizontal="center"/>
      <protection/>
    </xf>
    <xf numFmtId="16" fontId="24" fillId="0" borderId="18" xfId="59" applyNumberFormat="1" applyFont="1" applyBorder="1" applyAlignment="1">
      <alignment horizontal="center" vertical="center"/>
      <protection/>
    </xf>
    <xf numFmtId="0" fontId="22" fillId="0" borderId="18" xfId="59" applyFont="1" applyBorder="1" applyAlignment="1">
      <alignment horizontal="center" vertical="center"/>
      <protection/>
    </xf>
    <xf numFmtId="0" fontId="108" fillId="0" borderId="15" xfId="59" applyFont="1" applyBorder="1" applyAlignment="1">
      <alignment horizontal="center" vertical="center"/>
      <protection/>
    </xf>
    <xf numFmtId="0" fontId="23" fillId="0" borderId="14" xfId="59" applyFont="1" applyBorder="1" applyAlignment="1">
      <alignment horizontal="center"/>
      <protection/>
    </xf>
    <xf numFmtId="0" fontId="19" fillId="0" borderId="16" xfId="59" applyFont="1" applyFill="1" applyBorder="1" applyAlignment="1">
      <alignment horizontal="center"/>
      <protection/>
    </xf>
    <xf numFmtId="0" fontId="24" fillId="0" borderId="16" xfId="59" applyFont="1" applyBorder="1" applyAlignment="1">
      <alignment horizontal="center" vertical="center"/>
      <protection/>
    </xf>
    <xf numFmtId="0" fontId="22" fillId="0" borderId="16" xfId="59" applyFont="1" applyBorder="1" applyAlignment="1">
      <alignment horizontal="center" vertical="center"/>
      <protection/>
    </xf>
    <xf numFmtId="1" fontId="19" fillId="34" borderId="14" xfId="59" applyNumberFormat="1" applyFont="1" applyFill="1" applyBorder="1" applyAlignment="1">
      <alignment horizontal="center"/>
      <protection/>
    </xf>
    <xf numFmtId="0" fontId="1" fillId="33" borderId="14" xfId="59" applyFont="1" applyFill="1" applyBorder="1" applyAlignment="1">
      <alignment horizontal="center"/>
      <protection/>
    </xf>
    <xf numFmtId="0" fontId="1" fillId="0" borderId="14" xfId="59" applyFont="1" applyBorder="1" applyAlignment="1">
      <alignment horizontal="center" vertical="center"/>
      <protection/>
    </xf>
    <xf numFmtId="0" fontId="19" fillId="0" borderId="14" xfId="59" applyFont="1" applyFill="1" applyBorder="1" applyAlignment="1">
      <alignment horizontal="center"/>
      <protection/>
    </xf>
    <xf numFmtId="0" fontId="23" fillId="0" borderId="19" xfId="59" applyFont="1" applyBorder="1" applyAlignment="1">
      <alignment horizontal="center"/>
      <protection/>
    </xf>
    <xf numFmtId="0" fontId="26" fillId="34" borderId="14" xfId="59" applyFont="1" applyFill="1" applyBorder="1" applyAlignment="1">
      <alignment horizontal="center"/>
      <protection/>
    </xf>
    <xf numFmtId="0" fontId="19" fillId="34" borderId="14" xfId="59" applyFont="1" applyFill="1" applyBorder="1" applyAlignment="1">
      <alignment horizontal="center"/>
      <protection/>
    </xf>
    <xf numFmtId="168" fontId="19" fillId="0" borderId="14" xfId="59" applyNumberFormat="1" applyFont="1" applyBorder="1" applyAlignment="1">
      <alignment horizontal="center"/>
      <protection/>
    </xf>
    <xf numFmtId="0" fontId="23" fillId="0" borderId="20" xfId="59" applyFont="1" applyBorder="1" applyAlignment="1">
      <alignment horizontal="center"/>
      <protection/>
    </xf>
    <xf numFmtId="1" fontId="93" fillId="0" borderId="15" xfId="59" applyNumberFormat="1" applyBorder="1" applyAlignment="1">
      <alignment horizontal="center" vertical="center"/>
      <protection/>
    </xf>
    <xf numFmtId="1" fontId="26" fillId="0" borderId="14" xfId="59" applyNumberFormat="1" applyFont="1" applyBorder="1" applyAlignment="1">
      <alignment horizontal="center"/>
      <protection/>
    </xf>
    <xf numFmtId="16" fontId="24" fillId="0" borderId="16" xfId="59" applyNumberFormat="1" applyFont="1" applyBorder="1" applyAlignment="1">
      <alignment horizontal="center" vertical="center"/>
      <protection/>
    </xf>
    <xf numFmtId="0" fontId="1" fillId="0" borderId="14" xfId="59" applyFont="1" applyBorder="1" applyAlignment="1">
      <alignment horizontal="center"/>
      <protection/>
    </xf>
    <xf numFmtId="2" fontId="23" fillId="0" borderId="15" xfId="59" applyNumberFormat="1" applyFont="1" applyBorder="1" applyAlignment="1">
      <alignment horizontal="center" vertical="center"/>
      <protection/>
    </xf>
    <xf numFmtId="2" fontId="1" fillId="0" borderId="15" xfId="59" applyNumberFormat="1" applyFont="1" applyBorder="1" applyAlignment="1">
      <alignment horizontal="center" vertical="center"/>
      <protection/>
    </xf>
    <xf numFmtId="0" fontId="23" fillId="0" borderId="21" xfId="59" applyFont="1" applyBorder="1" applyAlignment="1">
      <alignment horizontal="center"/>
      <protection/>
    </xf>
    <xf numFmtId="0" fontId="93" fillId="0" borderId="21" xfId="59" applyBorder="1" applyAlignment="1">
      <alignment vertical="center"/>
      <protection/>
    </xf>
    <xf numFmtId="1" fontId="26" fillId="0" borderId="14" xfId="59" applyNumberFormat="1" applyFont="1" applyBorder="1" applyAlignment="1">
      <alignment horizontal="center" vertical="center"/>
      <protection/>
    </xf>
    <xf numFmtId="2" fontId="1" fillId="0" borderId="14" xfId="59" applyNumberFormat="1" applyFont="1" applyBorder="1" applyAlignment="1">
      <alignment horizontal="center"/>
      <protection/>
    </xf>
    <xf numFmtId="0" fontId="93" fillId="0" borderId="19" xfId="59" applyBorder="1" applyAlignment="1">
      <alignment vertical="center"/>
      <protection/>
    </xf>
    <xf numFmtId="0" fontId="93" fillId="0" borderId="20" xfId="59" applyBorder="1" applyAlignment="1">
      <alignment/>
      <protection/>
    </xf>
    <xf numFmtId="0" fontId="93" fillId="0" borderId="17" xfId="59" applyBorder="1">
      <alignment/>
      <protection/>
    </xf>
    <xf numFmtId="0" fontId="93" fillId="0" borderId="17" xfId="59" applyBorder="1" applyAlignment="1">
      <alignment/>
      <protection/>
    </xf>
    <xf numFmtId="0" fontId="24" fillId="0" borderId="14" xfId="59" applyFont="1" applyFill="1" applyBorder="1" applyAlignment="1">
      <alignment horizontal="center" vertical="center"/>
      <protection/>
    </xf>
    <xf numFmtId="0" fontId="25" fillId="0" borderId="14" xfId="59" applyFont="1" applyBorder="1" applyAlignment="1">
      <alignment horizontal="center" vertical="center"/>
      <protection/>
    </xf>
    <xf numFmtId="0" fontId="115" fillId="0" borderId="14" xfId="59" applyFont="1" applyBorder="1" applyAlignment="1">
      <alignment horizontal="center" vertical="center" wrapText="1"/>
      <protection/>
    </xf>
    <xf numFmtId="0" fontId="24" fillId="0" borderId="15" xfId="59" applyFont="1" applyBorder="1" applyAlignment="1">
      <alignment horizontal="center" vertical="center"/>
      <protection/>
    </xf>
    <xf numFmtId="0" fontId="24" fillId="0" borderId="16"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7" xfId="59" applyFont="1" applyBorder="1" applyAlignment="1">
      <alignment horizontal="center" vertical="center"/>
      <protection/>
    </xf>
    <xf numFmtId="0" fontId="24" fillId="0" borderId="14" xfId="59" applyFont="1" applyBorder="1" applyAlignment="1">
      <alignment horizontal="center" vertical="center"/>
      <protection/>
    </xf>
    <xf numFmtId="0" fontId="27" fillId="0" borderId="14" xfId="59" applyFont="1" applyFill="1" applyBorder="1" applyAlignment="1">
      <alignment horizontal="center" vertical="center" wrapText="1"/>
      <protection/>
    </xf>
    <xf numFmtId="0" fontId="22" fillId="0" borderId="14" xfId="59" applyFont="1" applyBorder="1" applyAlignment="1">
      <alignment wrapText="1"/>
      <protection/>
    </xf>
    <xf numFmtId="0" fontId="22" fillId="0" borderId="14" xfId="59" applyFont="1" applyFill="1" applyBorder="1" applyAlignment="1">
      <alignment horizontal="center" vertical="center" wrapText="1"/>
      <protection/>
    </xf>
    <xf numFmtId="0" fontId="22" fillId="0" borderId="17" xfId="59" applyFont="1" applyBorder="1" applyAlignment="1">
      <alignment horizontal="center" vertical="center"/>
      <protection/>
    </xf>
    <xf numFmtId="0" fontId="22" fillId="0" borderId="14" xfId="59" applyFont="1" applyBorder="1" applyAlignment="1">
      <alignment horizontal="center" vertical="center" wrapText="1"/>
      <protection/>
    </xf>
    <xf numFmtId="0" fontId="21" fillId="0" borderId="0" xfId="57" applyAlignment="1">
      <alignment horizontal="center"/>
      <protection/>
    </xf>
    <xf numFmtId="0" fontId="29" fillId="0" borderId="0" xfId="57" applyFont="1">
      <alignment/>
      <protection/>
    </xf>
    <xf numFmtId="0" fontId="21" fillId="0" borderId="0" xfId="57" applyBorder="1" applyAlignment="1">
      <alignment/>
      <protection/>
    </xf>
    <xf numFmtId="0" fontId="29" fillId="0" borderId="0" xfId="57" applyFont="1" applyBorder="1" applyAlignment="1">
      <alignment/>
      <protection/>
    </xf>
    <xf numFmtId="0" fontId="21" fillId="0" borderId="0" xfId="57" applyFont="1">
      <alignment/>
      <protection/>
    </xf>
    <xf numFmtId="9" fontId="29" fillId="0" borderId="0" xfId="57" applyNumberFormat="1" applyFont="1" applyAlignment="1">
      <alignment horizontal="center" vertical="center"/>
      <protection/>
    </xf>
    <xf numFmtId="9" fontId="21" fillId="0" borderId="0" xfId="57" applyNumberFormat="1" applyAlignment="1">
      <alignment horizontal="center" vertical="center"/>
      <protection/>
    </xf>
    <xf numFmtId="0" fontId="21" fillId="0" borderId="0" xfId="57" applyFont="1" applyAlignment="1">
      <alignment horizontal="center" vertical="center"/>
      <protection/>
    </xf>
    <xf numFmtId="0" fontId="21" fillId="0" borderId="0" xfId="57" applyAlignment="1">
      <alignment/>
      <protection/>
    </xf>
    <xf numFmtId="0" fontId="21" fillId="0" borderId="0" xfId="57" applyFont="1" applyAlignment="1">
      <alignment/>
      <protection/>
    </xf>
    <xf numFmtId="2" fontId="21" fillId="0" borderId="14" xfId="57" applyNumberFormat="1" applyFill="1" applyBorder="1" applyAlignment="1">
      <alignment horizontal="center" vertical="center"/>
      <protection/>
    </xf>
    <xf numFmtId="0" fontId="29" fillId="0" borderId="14" xfId="57" applyFont="1" applyFill="1" applyBorder="1" applyAlignment="1">
      <alignment horizontal="center" vertical="center"/>
      <protection/>
    </xf>
    <xf numFmtId="0" fontId="21" fillId="0" borderId="0" xfId="57" applyBorder="1">
      <alignment/>
      <protection/>
    </xf>
    <xf numFmtId="0" fontId="21" fillId="0" borderId="0" xfId="57" applyFill="1" applyBorder="1" applyAlignment="1">
      <alignment horizontal="center" vertical="center"/>
      <protection/>
    </xf>
    <xf numFmtId="2" fontId="21" fillId="0" borderId="0" xfId="57" applyNumberFormat="1" applyBorder="1" applyAlignment="1">
      <alignment horizontal="center" vertical="center"/>
      <protection/>
    </xf>
    <xf numFmtId="0" fontId="21" fillId="0" borderId="0" xfId="57" applyBorder="1" applyAlignment="1">
      <alignment horizontal="center" vertical="center"/>
      <protection/>
    </xf>
    <xf numFmtId="0" fontId="21" fillId="0" borderId="14" xfId="57" applyBorder="1" applyAlignment="1">
      <alignment horizontal="center"/>
      <protection/>
    </xf>
    <xf numFmtId="0" fontId="21" fillId="0" borderId="14" xfId="57" applyBorder="1" applyAlignment="1">
      <alignment horizontal="center" vertical="center"/>
      <protection/>
    </xf>
    <xf numFmtId="0" fontId="21" fillId="0" borderId="17" xfId="57" applyBorder="1" applyAlignment="1">
      <alignment horizontal="center" vertical="center"/>
      <protection/>
    </xf>
    <xf numFmtId="0" fontId="21" fillId="0" borderId="14" xfId="57" applyFill="1" applyBorder="1" applyAlignment="1">
      <alignment horizontal="center" vertical="center"/>
      <protection/>
    </xf>
    <xf numFmtId="2" fontId="21" fillId="0" borderId="14" xfId="57" applyNumberFormat="1" applyBorder="1" applyAlignment="1">
      <alignment horizontal="center" vertical="center"/>
      <protection/>
    </xf>
    <xf numFmtId="0" fontId="21" fillId="0" borderId="14" xfId="57" applyFont="1" applyFill="1" applyBorder="1" applyAlignment="1">
      <alignment horizontal="center" vertical="center"/>
      <protection/>
    </xf>
    <xf numFmtId="1" fontId="21" fillId="0" borderId="14" xfId="57" applyNumberFormat="1" applyFill="1" applyBorder="1" applyAlignment="1">
      <alignment horizontal="center" vertical="center"/>
      <protection/>
    </xf>
    <xf numFmtId="0" fontId="21" fillId="0" borderId="15" xfId="57" applyBorder="1" applyAlignment="1">
      <alignment horizontal="center"/>
      <protection/>
    </xf>
    <xf numFmtId="0" fontId="21" fillId="0" borderId="15" xfId="57" applyBorder="1">
      <alignment/>
      <protection/>
    </xf>
    <xf numFmtId="0" fontId="21" fillId="0" borderId="15" xfId="57" applyFill="1" applyBorder="1" applyAlignment="1">
      <alignment horizontal="center" vertical="center"/>
      <protection/>
    </xf>
    <xf numFmtId="0" fontId="21" fillId="0" borderId="15" xfId="57" applyBorder="1" applyAlignment="1">
      <alignment horizontal="center" vertical="center"/>
      <protection/>
    </xf>
    <xf numFmtId="0" fontId="21" fillId="0" borderId="15" xfId="57" applyFont="1" applyFill="1" applyBorder="1" applyAlignment="1">
      <alignment horizontal="center" vertical="center"/>
      <protection/>
    </xf>
    <xf numFmtId="0" fontId="21" fillId="0" borderId="14" xfId="57" applyBorder="1">
      <alignment/>
      <protection/>
    </xf>
    <xf numFmtId="0" fontId="21" fillId="0" borderId="14" xfId="57" applyFont="1" applyBorder="1" applyAlignment="1">
      <alignment horizontal="center" vertical="center"/>
      <protection/>
    </xf>
    <xf numFmtId="0" fontId="21" fillId="0" borderId="0" xfId="57" applyAlignment="1">
      <alignment wrapText="1"/>
      <protection/>
    </xf>
    <xf numFmtId="0" fontId="29" fillId="0" borderId="14" xfId="57" applyFont="1" applyFill="1" applyBorder="1" applyAlignment="1">
      <alignment horizontal="center" vertical="center" wrapText="1"/>
      <protection/>
    </xf>
    <xf numFmtId="0" fontId="29" fillId="0" borderId="17" xfId="57" applyFont="1" applyFill="1" applyBorder="1" applyAlignment="1">
      <alignment horizontal="center" vertical="center" wrapText="1"/>
      <protection/>
    </xf>
    <xf numFmtId="0" fontId="29" fillId="0" borderId="14" xfId="57" applyFont="1" applyBorder="1" applyAlignment="1">
      <alignment horizontal="center" vertical="center" wrapText="1"/>
      <protection/>
    </xf>
    <xf numFmtId="0" fontId="29" fillId="0" borderId="14" xfId="57" applyFont="1" applyBorder="1" applyAlignment="1">
      <alignment horizontal="center" vertical="center"/>
      <protection/>
    </xf>
    <xf numFmtId="0" fontId="29" fillId="0" borderId="14" xfId="57" applyFont="1" applyBorder="1" applyAlignment="1">
      <alignment wrapText="1"/>
      <protection/>
    </xf>
    <xf numFmtId="0" fontId="29" fillId="0" borderId="0" xfId="57" applyFont="1" applyBorder="1">
      <alignment/>
      <protection/>
    </xf>
    <xf numFmtId="0" fontId="31" fillId="0" borderId="0" xfId="57" applyFont="1" applyBorder="1">
      <alignment/>
      <protection/>
    </xf>
    <xf numFmtId="0" fontId="32" fillId="0" borderId="0" xfId="57" applyFont="1" applyBorder="1">
      <alignment/>
      <protection/>
    </xf>
    <xf numFmtId="0" fontId="32" fillId="33" borderId="0" xfId="57" applyFont="1" applyFill="1" applyBorder="1">
      <alignment/>
      <protection/>
    </xf>
    <xf numFmtId="0" fontId="33" fillId="0" borderId="0" xfId="57" applyFont="1" applyBorder="1" applyAlignment="1">
      <alignment horizontal="center"/>
      <protection/>
    </xf>
    <xf numFmtId="0" fontId="33" fillId="0" borderId="0" xfId="57" applyFont="1" applyBorder="1" applyAlignment="1">
      <alignment/>
      <protection/>
    </xf>
    <xf numFmtId="0" fontId="33" fillId="0" borderId="0" xfId="57" applyFont="1" applyBorder="1">
      <alignment/>
      <protection/>
    </xf>
    <xf numFmtId="2" fontId="32" fillId="0" borderId="0" xfId="57" applyNumberFormat="1" applyFont="1" applyBorder="1">
      <alignment/>
      <protection/>
    </xf>
    <xf numFmtId="2" fontId="32" fillId="0" borderId="17" xfId="57" applyNumberFormat="1" applyFont="1" applyBorder="1">
      <alignment/>
      <protection/>
    </xf>
    <xf numFmtId="0" fontId="32" fillId="0" borderId="15" xfId="57" applyFont="1" applyBorder="1">
      <alignment/>
      <protection/>
    </xf>
    <xf numFmtId="0" fontId="32" fillId="0" borderId="22" xfId="57" applyFont="1" applyBorder="1">
      <alignment/>
      <protection/>
    </xf>
    <xf numFmtId="2" fontId="32" fillId="33" borderId="0" xfId="57" applyNumberFormat="1" applyFont="1" applyFill="1" applyBorder="1">
      <alignment/>
      <protection/>
    </xf>
    <xf numFmtId="2" fontId="32" fillId="33" borderId="17" xfId="57" applyNumberFormat="1" applyFont="1" applyFill="1" applyBorder="1">
      <alignment/>
      <protection/>
    </xf>
    <xf numFmtId="0" fontId="32" fillId="0" borderId="14" xfId="57" applyFont="1" applyBorder="1">
      <alignment/>
      <protection/>
    </xf>
    <xf numFmtId="0" fontId="32" fillId="0" borderId="23" xfId="57" applyFont="1" applyBorder="1">
      <alignment/>
      <protection/>
    </xf>
    <xf numFmtId="0" fontId="21" fillId="0" borderId="0" xfId="57" applyAlignment="1">
      <alignment horizontal="left" vertical="top" wrapText="1"/>
      <protection/>
    </xf>
    <xf numFmtId="0" fontId="32" fillId="0" borderId="14" xfId="57" applyFont="1" applyBorder="1" applyAlignment="1">
      <alignment horizontal="center" vertical="center"/>
      <protection/>
    </xf>
    <xf numFmtId="0" fontId="21" fillId="0" borderId="14" xfId="57" applyBorder="1" applyAlignment="1">
      <alignment horizontal="left" vertical="top" wrapText="1"/>
      <protection/>
    </xf>
    <xf numFmtId="2" fontId="32" fillId="0" borderId="14" xfId="57" applyNumberFormat="1" applyFont="1" applyBorder="1" applyAlignment="1">
      <alignment horizontal="center" vertical="center"/>
      <protection/>
    </xf>
    <xf numFmtId="2" fontId="32" fillId="0" borderId="0" xfId="57" applyNumberFormat="1" applyFont="1" applyFill="1" applyBorder="1">
      <alignment/>
      <protection/>
    </xf>
    <xf numFmtId="0" fontId="21" fillId="0" borderId="14" xfId="57" applyFont="1" applyBorder="1" applyAlignment="1">
      <alignment horizontal="left" vertical="top" wrapText="1"/>
      <protection/>
    </xf>
    <xf numFmtId="2" fontId="34" fillId="33" borderId="14" xfId="57" applyNumberFormat="1" applyFont="1" applyFill="1" applyBorder="1">
      <alignment/>
      <protection/>
    </xf>
    <xf numFmtId="2" fontId="21" fillId="0" borderId="0" xfId="57" applyNumberFormat="1" applyFont="1" applyFill="1" applyBorder="1">
      <alignment/>
      <protection/>
    </xf>
    <xf numFmtId="2" fontId="32" fillId="0" borderId="21" xfId="57" applyNumberFormat="1" applyFont="1" applyFill="1" applyBorder="1">
      <alignment/>
      <protection/>
    </xf>
    <xf numFmtId="0" fontId="32" fillId="0" borderId="0" xfId="57" applyFont="1" applyFill="1" applyBorder="1">
      <alignment/>
      <protection/>
    </xf>
    <xf numFmtId="0" fontId="33" fillId="0" borderId="23" xfId="57" applyFont="1" applyBorder="1">
      <alignment/>
      <protection/>
    </xf>
    <xf numFmtId="10" fontId="32" fillId="0" borderId="0" xfId="57" applyNumberFormat="1" applyFont="1" applyFill="1" applyBorder="1">
      <alignment/>
      <protection/>
    </xf>
    <xf numFmtId="10" fontId="32" fillId="0" borderId="17" xfId="57" applyNumberFormat="1" applyFont="1" applyBorder="1">
      <alignment/>
      <protection/>
    </xf>
    <xf numFmtId="2" fontId="34" fillId="0" borderId="0" xfId="57" applyNumberFormat="1" applyFont="1" applyFill="1" applyBorder="1">
      <alignment/>
      <protection/>
    </xf>
    <xf numFmtId="2" fontId="34" fillId="0" borderId="17" xfId="57" applyNumberFormat="1" applyFont="1" applyBorder="1">
      <alignment/>
      <protection/>
    </xf>
    <xf numFmtId="2" fontId="21" fillId="0" borderId="0" xfId="57" applyNumberFormat="1" applyFont="1" applyBorder="1">
      <alignment/>
      <protection/>
    </xf>
    <xf numFmtId="2" fontId="34" fillId="33" borderId="17" xfId="57" applyNumberFormat="1" applyFont="1" applyFill="1" applyBorder="1">
      <alignment/>
      <protection/>
    </xf>
    <xf numFmtId="2" fontId="32" fillId="0" borderId="17" xfId="57" applyNumberFormat="1" applyFont="1" applyFill="1" applyBorder="1">
      <alignment/>
      <protection/>
    </xf>
    <xf numFmtId="2" fontId="21" fillId="0" borderId="17" xfId="57" applyNumberFormat="1" applyFont="1" applyFill="1" applyBorder="1">
      <alignment/>
      <protection/>
    </xf>
    <xf numFmtId="2" fontId="21" fillId="33" borderId="17" xfId="57" applyNumberFormat="1" applyFont="1" applyFill="1" applyBorder="1">
      <alignment/>
      <protection/>
    </xf>
    <xf numFmtId="2" fontId="21" fillId="0" borderId="17" xfId="57" applyNumberFormat="1" applyFont="1" applyBorder="1">
      <alignment/>
      <protection/>
    </xf>
    <xf numFmtId="0" fontId="32" fillId="0" borderId="17" xfId="57" applyFont="1" applyBorder="1">
      <alignment/>
      <protection/>
    </xf>
    <xf numFmtId="2" fontId="34" fillId="0" borderId="0" xfId="57" applyNumberFormat="1" applyFont="1" applyBorder="1">
      <alignment/>
      <protection/>
    </xf>
    <xf numFmtId="2" fontId="21" fillId="33" borderId="0" xfId="57" applyNumberFormat="1" applyFill="1" applyBorder="1">
      <alignment/>
      <protection/>
    </xf>
    <xf numFmtId="2" fontId="21" fillId="33" borderId="0" xfId="57" applyNumberFormat="1" applyFill="1">
      <alignment/>
      <protection/>
    </xf>
    <xf numFmtId="0" fontId="34" fillId="0" borderId="14" xfId="57" applyFont="1" applyBorder="1" applyAlignment="1">
      <alignment horizontal="center" vertical="center"/>
      <protection/>
    </xf>
    <xf numFmtId="0" fontId="34" fillId="0" borderId="14" xfId="57" applyFont="1" applyBorder="1">
      <alignment/>
      <protection/>
    </xf>
    <xf numFmtId="0" fontId="34" fillId="0" borderId="23" xfId="57" applyFont="1" applyBorder="1">
      <alignment/>
      <protection/>
    </xf>
    <xf numFmtId="0" fontId="32" fillId="0" borderId="23" xfId="57" applyFont="1" applyBorder="1" applyAlignment="1">
      <alignment horizontal="left" vertical="top" wrapText="1"/>
      <protection/>
    </xf>
    <xf numFmtId="0" fontId="32" fillId="0" borderId="0" xfId="57" applyFont="1" applyBorder="1" applyAlignment="1" quotePrefix="1">
      <alignment horizontal="right"/>
      <protection/>
    </xf>
    <xf numFmtId="0" fontId="32" fillId="0" borderId="17" xfId="57" applyFont="1" applyBorder="1" applyAlignment="1">
      <alignment horizontal="right"/>
      <protection/>
    </xf>
    <xf numFmtId="0" fontId="35" fillId="0" borderId="23" xfId="57" applyFont="1" applyBorder="1">
      <alignment/>
      <protection/>
    </xf>
    <xf numFmtId="0" fontId="32" fillId="0" borderId="17" xfId="57" applyFont="1" applyBorder="1" applyAlignment="1">
      <alignment horizontal="center" vertical="center"/>
      <protection/>
    </xf>
    <xf numFmtId="0" fontId="21" fillId="33" borderId="0" xfId="57" applyFill="1">
      <alignment/>
      <protection/>
    </xf>
    <xf numFmtId="2" fontId="32" fillId="0" borderId="17" xfId="57" applyNumberFormat="1" applyFont="1" applyBorder="1" applyAlignment="1">
      <alignment horizontal="center" vertical="center"/>
      <protection/>
    </xf>
    <xf numFmtId="2" fontId="21" fillId="0" borderId="0" xfId="57" applyNumberFormat="1" applyBorder="1">
      <alignment/>
      <protection/>
    </xf>
    <xf numFmtId="2" fontId="21" fillId="0" borderId="17" xfId="57" applyNumberFormat="1" applyFont="1" applyFill="1" applyBorder="1" applyAlignment="1">
      <alignment horizontal="center" vertical="center"/>
      <protection/>
    </xf>
    <xf numFmtId="2" fontId="21" fillId="35" borderId="17" xfId="57" applyNumberFormat="1" applyFont="1" applyFill="1" applyBorder="1">
      <alignment/>
      <protection/>
    </xf>
    <xf numFmtId="0" fontId="21" fillId="0" borderId="14" xfId="57" applyFont="1" applyBorder="1">
      <alignment/>
      <protection/>
    </xf>
    <xf numFmtId="0" fontId="21" fillId="0" borderId="23" xfId="57" applyFont="1" applyBorder="1">
      <alignment/>
      <protection/>
    </xf>
    <xf numFmtId="2" fontId="32" fillId="35" borderId="17" xfId="57" applyNumberFormat="1" applyFont="1" applyFill="1" applyBorder="1">
      <alignment/>
      <protection/>
    </xf>
    <xf numFmtId="0" fontId="32" fillId="0" borderId="24" xfId="57" applyFont="1" applyBorder="1" applyAlignment="1">
      <alignment horizontal="left" vertical="top" wrapText="1"/>
      <protection/>
    </xf>
    <xf numFmtId="2" fontId="33" fillId="0" borderId="17" xfId="57" applyNumberFormat="1" applyFont="1" applyBorder="1" applyAlignment="1">
      <alignment horizontal="center" vertical="center"/>
      <protection/>
    </xf>
    <xf numFmtId="2" fontId="33" fillId="0" borderId="17" xfId="57" applyNumberFormat="1" applyFont="1" applyBorder="1">
      <alignment/>
      <protection/>
    </xf>
    <xf numFmtId="0" fontId="33" fillId="0" borderId="14" xfId="57" applyFont="1" applyBorder="1" applyAlignment="1">
      <alignment horizontal="center" vertical="center"/>
      <protection/>
    </xf>
    <xf numFmtId="0" fontId="33" fillId="0" borderId="14" xfId="57" applyFont="1" applyBorder="1">
      <alignment/>
      <protection/>
    </xf>
    <xf numFmtId="2" fontId="21" fillId="0" borderId="17" xfId="57" applyNumberFormat="1" applyFont="1" applyBorder="1" applyAlignment="1">
      <alignment horizontal="center" vertical="center"/>
      <protection/>
    </xf>
    <xf numFmtId="2" fontId="34" fillId="33" borderId="17" xfId="57" applyNumberFormat="1" applyFont="1" applyFill="1" applyBorder="1" applyAlignment="1">
      <alignment horizontal="center" vertical="center"/>
      <protection/>
    </xf>
    <xf numFmtId="0" fontId="21" fillId="33" borderId="0" xfId="57" applyFill="1" applyBorder="1">
      <alignment/>
      <protection/>
    </xf>
    <xf numFmtId="0" fontId="33" fillId="0" borderId="17" xfId="57" applyFont="1" applyBorder="1" applyAlignment="1">
      <alignment horizontal="center" vertical="center"/>
      <protection/>
    </xf>
    <xf numFmtId="0" fontId="33" fillId="0" borderId="17" xfId="57" applyFont="1" applyBorder="1">
      <alignment/>
      <protection/>
    </xf>
    <xf numFmtId="0" fontId="35" fillId="0" borderId="14" xfId="57" applyFont="1" applyBorder="1">
      <alignment/>
      <protection/>
    </xf>
    <xf numFmtId="2" fontId="32" fillId="33" borderId="17" xfId="57" applyNumberFormat="1" applyFont="1" applyFill="1" applyBorder="1" applyAlignment="1">
      <alignment horizontal="center" vertical="center"/>
      <protection/>
    </xf>
    <xf numFmtId="0" fontId="34" fillId="33" borderId="14" xfId="57" applyFont="1" applyFill="1" applyBorder="1" applyAlignment="1">
      <alignment horizontal="left" vertical="top" wrapText="1"/>
      <protection/>
    </xf>
    <xf numFmtId="168" fontId="34" fillId="33" borderId="17" xfId="57" applyNumberFormat="1" applyFont="1" applyFill="1" applyBorder="1" applyAlignment="1">
      <alignment horizontal="center" vertical="center"/>
      <protection/>
    </xf>
    <xf numFmtId="168" fontId="34" fillId="33" borderId="17" xfId="57" applyNumberFormat="1" applyFont="1" applyFill="1" applyBorder="1">
      <alignment/>
      <protection/>
    </xf>
    <xf numFmtId="0" fontId="21" fillId="0" borderId="0" xfId="57" applyFill="1" applyBorder="1">
      <alignment/>
      <protection/>
    </xf>
    <xf numFmtId="10" fontId="32" fillId="33" borderId="14" xfId="57" applyNumberFormat="1" applyFont="1" applyFill="1" applyBorder="1" applyAlignment="1">
      <alignment horizontal="center" vertical="center"/>
      <protection/>
    </xf>
    <xf numFmtId="10" fontId="32" fillId="33" borderId="14" xfId="57" applyNumberFormat="1" applyFont="1" applyFill="1" applyBorder="1">
      <alignment/>
      <protection/>
    </xf>
    <xf numFmtId="2" fontId="36" fillId="0" borderId="17" xfId="57" applyNumberFormat="1" applyFont="1" applyBorder="1" applyAlignment="1">
      <alignment horizontal="center" vertical="center"/>
      <protection/>
    </xf>
    <xf numFmtId="1" fontId="32" fillId="33" borderId="17" xfId="57" applyNumberFormat="1" applyFont="1" applyFill="1" applyBorder="1" applyAlignment="1">
      <alignment horizontal="center" vertical="center"/>
      <protection/>
    </xf>
    <xf numFmtId="1" fontId="32" fillId="33" borderId="17" xfId="57" applyNumberFormat="1" applyFont="1" applyFill="1" applyBorder="1">
      <alignment/>
      <protection/>
    </xf>
    <xf numFmtId="2" fontId="32" fillId="33" borderId="14" xfId="57" applyNumberFormat="1" applyFont="1" applyFill="1" applyBorder="1" applyAlignment="1">
      <alignment horizontal="center" vertical="center"/>
      <protection/>
    </xf>
    <xf numFmtId="2" fontId="32" fillId="33" borderId="14" xfId="57" applyNumberFormat="1" applyFont="1" applyFill="1" applyBorder="1">
      <alignment/>
      <protection/>
    </xf>
    <xf numFmtId="2" fontId="32" fillId="33" borderId="19" xfId="57" applyNumberFormat="1" applyFont="1" applyFill="1" applyBorder="1" applyAlignment="1">
      <alignment horizontal="center" vertical="center"/>
      <protection/>
    </xf>
    <xf numFmtId="2" fontId="32" fillId="33" borderId="15" xfId="57" applyNumberFormat="1" applyFont="1" applyFill="1" applyBorder="1" applyAlignment="1">
      <alignment horizontal="center" vertical="center"/>
      <protection/>
    </xf>
    <xf numFmtId="168" fontId="32" fillId="0" borderId="0" xfId="57" applyNumberFormat="1" applyFont="1" applyFill="1" applyBorder="1">
      <alignment/>
      <protection/>
    </xf>
    <xf numFmtId="168" fontId="32" fillId="0" borderId="17" xfId="57" applyNumberFormat="1" applyFont="1" applyBorder="1" applyAlignment="1">
      <alignment horizontal="center" vertical="center"/>
      <protection/>
    </xf>
    <xf numFmtId="168" fontId="32" fillId="0" borderId="17" xfId="57" applyNumberFormat="1" applyFont="1" applyBorder="1">
      <alignment/>
      <protection/>
    </xf>
    <xf numFmtId="1" fontId="32" fillId="0" borderId="0" xfId="57" applyNumberFormat="1" applyFont="1" applyFill="1" applyBorder="1">
      <alignment/>
      <protection/>
    </xf>
    <xf numFmtId="0" fontId="34" fillId="0" borderId="17" xfId="57" applyFont="1" applyBorder="1">
      <alignment/>
      <protection/>
    </xf>
    <xf numFmtId="168" fontId="32" fillId="0" borderId="14" xfId="57" applyNumberFormat="1" applyFont="1" applyBorder="1" applyAlignment="1">
      <alignment horizontal="center" vertical="center"/>
      <protection/>
    </xf>
    <xf numFmtId="168" fontId="32" fillId="0" borderId="14" xfId="57" applyNumberFormat="1" applyFont="1" applyBorder="1">
      <alignment/>
      <protection/>
    </xf>
    <xf numFmtId="0" fontId="32" fillId="33" borderId="17" xfId="57" applyFont="1" applyFill="1" applyBorder="1" applyAlignment="1">
      <alignment horizontal="center" vertical="center"/>
      <protection/>
    </xf>
    <xf numFmtId="0" fontId="32" fillId="33" borderId="17" xfId="57" applyFont="1" applyFill="1" applyBorder="1">
      <alignment/>
      <protection/>
    </xf>
    <xf numFmtId="0" fontId="32" fillId="0" borderId="0" xfId="57" applyFont="1" applyBorder="1" applyAlignment="1">
      <alignment horizontal="right"/>
      <protection/>
    </xf>
    <xf numFmtId="0" fontId="33" fillId="0" borderId="17" xfId="57" applyFont="1" applyBorder="1" applyAlignment="1">
      <alignment horizontal="right"/>
      <protection/>
    </xf>
    <xf numFmtId="0" fontId="32" fillId="0" borderId="12" xfId="57" applyFont="1" applyBorder="1" applyAlignment="1">
      <alignment horizontal="center" vertical="center"/>
      <protection/>
    </xf>
    <xf numFmtId="0" fontId="32" fillId="0" borderId="25" xfId="57" applyFont="1" applyBorder="1" applyAlignment="1">
      <alignment horizontal="center" vertical="center"/>
      <protection/>
    </xf>
    <xf numFmtId="166" fontId="32" fillId="0" borderId="0" xfId="57" applyNumberFormat="1" applyFont="1" applyBorder="1">
      <alignment/>
      <protection/>
    </xf>
    <xf numFmtId="166" fontId="32" fillId="0" borderId="17" xfId="57" applyNumberFormat="1" applyFont="1" applyBorder="1">
      <alignment/>
      <protection/>
    </xf>
    <xf numFmtId="0" fontId="29" fillId="36" borderId="0" xfId="57" applyFont="1" applyFill="1" applyAlignment="1">
      <alignment horizontal="left" vertical="top" wrapText="1"/>
      <protection/>
    </xf>
    <xf numFmtId="0" fontId="29" fillId="0" borderId="14" xfId="57" applyFont="1" applyBorder="1">
      <alignment/>
      <protection/>
    </xf>
    <xf numFmtId="2" fontId="21" fillId="36" borderId="14" xfId="57" applyNumberFormat="1" applyFont="1" applyFill="1" applyBorder="1" applyAlignment="1">
      <alignment horizontal="center" vertical="center"/>
      <protection/>
    </xf>
    <xf numFmtId="0" fontId="29" fillId="0" borderId="0" xfId="57" applyFont="1" applyAlignment="1">
      <alignment horizontal="right"/>
      <protection/>
    </xf>
    <xf numFmtId="2" fontId="21" fillId="0" borderId="14" xfId="57" applyNumberFormat="1" applyFont="1" applyFill="1" applyBorder="1" applyAlignment="1">
      <alignment horizontal="center" vertical="center"/>
      <protection/>
    </xf>
    <xf numFmtId="0" fontId="21" fillId="0" borderId="14" xfId="57" applyBorder="1" applyAlignment="1">
      <alignment/>
      <protection/>
    </xf>
    <xf numFmtId="0" fontId="21" fillId="0" borderId="14" xfId="57" applyFont="1" applyFill="1" applyBorder="1">
      <alignment/>
      <protection/>
    </xf>
    <xf numFmtId="0" fontId="29" fillId="0" borderId="14" xfId="57" applyFont="1" applyBorder="1" applyAlignment="1">
      <alignment horizontal="center"/>
      <protection/>
    </xf>
    <xf numFmtId="0" fontId="29" fillId="0" borderId="14" xfId="57" applyFont="1" applyBorder="1" applyAlignment="1">
      <alignment horizontal="center" vertical="top" wrapText="1"/>
      <protection/>
    </xf>
    <xf numFmtId="0" fontId="37" fillId="0" borderId="0" xfId="57" applyFont="1">
      <alignment/>
      <protection/>
    </xf>
    <xf numFmtId="0" fontId="38" fillId="0" borderId="0" xfId="57" applyFont="1">
      <alignment/>
      <protection/>
    </xf>
    <xf numFmtId="0" fontId="21" fillId="0" borderId="14" xfId="57" applyFill="1" applyBorder="1">
      <alignment/>
      <protection/>
    </xf>
    <xf numFmtId="0" fontId="21" fillId="0" borderId="0" xfId="63">
      <alignment/>
      <protection/>
    </xf>
    <xf numFmtId="0" fontId="29" fillId="0" borderId="0" xfId="63" applyFont="1">
      <alignment/>
      <protection/>
    </xf>
    <xf numFmtId="0" fontId="21" fillId="0" borderId="0" xfId="63" applyFont="1">
      <alignment/>
      <protection/>
    </xf>
    <xf numFmtId="0" fontId="29" fillId="0" borderId="0" xfId="63" applyFont="1" applyAlignment="1">
      <alignment horizontal="left" vertical="top" wrapText="1"/>
      <protection/>
    </xf>
    <xf numFmtId="0" fontId="21" fillId="34" borderId="14" xfId="63" applyFill="1" applyBorder="1">
      <alignment/>
      <protection/>
    </xf>
    <xf numFmtId="0" fontId="21" fillId="34" borderId="17" xfId="63" applyFill="1" applyBorder="1">
      <alignment/>
      <protection/>
    </xf>
    <xf numFmtId="0" fontId="21" fillId="34" borderId="14" xfId="63" applyFill="1" applyBorder="1" applyAlignment="1">
      <alignment wrapText="1"/>
      <protection/>
    </xf>
    <xf numFmtId="0" fontId="21" fillId="34" borderId="14" xfId="63" applyFill="1" applyBorder="1" applyAlignment="1">
      <alignment horizontal="left" vertical="top" wrapText="1"/>
      <protection/>
    </xf>
    <xf numFmtId="0" fontId="21" fillId="34" borderId="14" xfId="63" applyFont="1" applyFill="1" applyBorder="1" applyAlignment="1">
      <alignment horizontal="left" vertical="top" wrapText="1"/>
      <protection/>
    </xf>
    <xf numFmtId="0" fontId="21" fillId="34" borderId="0" xfId="63" applyFill="1">
      <alignment/>
      <protection/>
    </xf>
    <xf numFmtId="0" fontId="21" fillId="0" borderId="14" xfId="63" applyFont="1" applyFill="1" applyBorder="1">
      <alignment/>
      <protection/>
    </xf>
    <xf numFmtId="1" fontId="21" fillId="34" borderId="14" xfId="63" applyNumberFormat="1" applyFill="1" applyBorder="1">
      <alignment/>
      <protection/>
    </xf>
    <xf numFmtId="0" fontId="21" fillId="34" borderId="14" xfId="63" applyFont="1" applyFill="1" applyBorder="1">
      <alignment/>
      <protection/>
    </xf>
    <xf numFmtId="2" fontId="21" fillId="34" borderId="14" xfId="63" applyNumberFormat="1" applyFill="1" applyBorder="1">
      <alignment/>
      <protection/>
    </xf>
    <xf numFmtId="166" fontId="21" fillId="34" borderId="14" xfId="63" applyNumberFormat="1" applyFill="1" applyBorder="1">
      <alignment/>
      <protection/>
    </xf>
    <xf numFmtId="0" fontId="21" fillId="34" borderId="16" xfId="63" applyFill="1" applyBorder="1">
      <alignment/>
      <protection/>
    </xf>
    <xf numFmtId="0" fontId="21" fillId="34" borderId="14" xfId="63" applyFill="1" applyBorder="1" applyAlignment="1">
      <alignment horizontal="left" vertical="justify" wrapText="1"/>
      <protection/>
    </xf>
    <xf numFmtId="0" fontId="29" fillId="34" borderId="14" xfId="63" applyFont="1" applyFill="1" applyBorder="1">
      <alignment/>
      <protection/>
    </xf>
    <xf numFmtId="3" fontId="29" fillId="34" borderId="14" xfId="63" applyNumberFormat="1" applyFont="1" applyFill="1" applyBorder="1">
      <alignment/>
      <protection/>
    </xf>
    <xf numFmtId="168" fontId="29" fillId="34" borderId="0" xfId="63" applyNumberFormat="1" applyFont="1" applyFill="1">
      <alignment/>
      <protection/>
    </xf>
    <xf numFmtId="3" fontId="21" fillId="34" borderId="0" xfId="63" applyNumberFormat="1" applyFill="1">
      <alignment/>
      <protection/>
    </xf>
    <xf numFmtId="0" fontId="39" fillId="33" borderId="0" xfId="63" applyFont="1" applyFill="1">
      <alignment/>
      <protection/>
    </xf>
    <xf numFmtId="0" fontId="39" fillId="36" borderId="0" xfId="63" applyFont="1" applyFill="1">
      <alignment/>
      <protection/>
    </xf>
    <xf numFmtId="0" fontId="21" fillId="36" borderId="0" xfId="63" applyFill="1">
      <alignment/>
      <protection/>
    </xf>
    <xf numFmtId="3" fontId="21" fillId="0" borderId="0" xfId="63" applyNumberFormat="1">
      <alignment/>
      <protection/>
    </xf>
    <xf numFmtId="0" fontId="40" fillId="0" borderId="0" xfId="63" applyFont="1">
      <alignment/>
      <protection/>
    </xf>
    <xf numFmtId="0" fontId="21" fillId="33" borderId="14" xfId="63" applyFill="1" applyBorder="1" applyAlignment="1">
      <alignment horizontal="left" vertical="top" wrapText="1"/>
      <protection/>
    </xf>
    <xf numFmtId="4" fontId="21" fillId="0" borderId="0" xfId="63" applyNumberFormat="1">
      <alignment/>
      <protection/>
    </xf>
    <xf numFmtId="0" fontId="21" fillId="0" borderId="0" xfId="57" applyAlignment="1">
      <alignment horizontal="right"/>
      <protection/>
    </xf>
    <xf numFmtId="0" fontId="21" fillId="0" borderId="13" xfId="57" applyBorder="1" applyAlignment="1">
      <alignment/>
      <protection/>
    </xf>
    <xf numFmtId="0" fontId="21" fillId="0" borderId="17" xfId="57" applyBorder="1" applyAlignment="1">
      <alignment horizontal="center"/>
      <protection/>
    </xf>
    <xf numFmtId="0" fontId="21" fillId="0" borderId="14" xfId="57" applyFont="1" applyBorder="1" applyAlignment="1">
      <alignment horizontal="center"/>
      <protection/>
    </xf>
    <xf numFmtId="0" fontId="21" fillId="0" borderId="17" xfId="57" applyFont="1" applyBorder="1" applyAlignment="1">
      <alignment horizontal="center"/>
      <protection/>
    </xf>
    <xf numFmtId="2" fontId="21" fillId="0" borderId="14" xfId="57" applyNumberFormat="1" applyFont="1" applyBorder="1" applyAlignment="1">
      <alignment horizontal="center" vertical="center"/>
      <protection/>
    </xf>
    <xf numFmtId="0" fontId="21" fillId="0" borderId="0" xfId="57" applyAlignment="1">
      <alignment horizontal="left"/>
      <protection/>
    </xf>
    <xf numFmtId="0" fontId="41" fillId="0" borderId="0" xfId="57" applyFont="1" applyFill="1">
      <alignment/>
      <protection/>
    </xf>
    <xf numFmtId="0" fontId="21" fillId="0" borderId="0" xfId="57" applyFill="1">
      <alignment/>
      <protection/>
    </xf>
    <xf numFmtId="0" fontId="29" fillId="0" borderId="0" xfId="57" applyFont="1" applyAlignment="1">
      <alignment horizontal="center" vertical="center"/>
      <protection/>
    </xf>
    <xf numFmtId="0" fontId="29" fillId="0" borderId="13" xfId="57" applyFont="1" applyBorder="1" applyAlignment="1">
      <alignment horizontal="center" vertical="center"/>
      <protection/>
    </xf>
    <xf numFmtId="0" fontId="29" fillId="0" borderId="17" xfId="57" applyFont="1" applyBorder="1" applyAlignment="1">
      <alignment horizontal="center" vertical="center" wrapText="1"/>
      <protection/>
    </xf>
    <xf numFmtId="0" fontId="21" fillId="37" borderId="14" xfId="57" applyFont="1" applyFill="1" applyBorder="1" applyAlignment="1">
      <alignment horizontal="center"/>
      <protection/>
    </xf>
    <xf numFmtId="0" fontId="21" fillId="0" borderId="0" xfId="57" applyFont="1" applyAlignment="1">
      <alignment horizontal="center"/>
      <protection/>
    </xf>
    <xf numFmtId="0" fontId="21" fillId="36" borderId="14" xfId="57" applyFill="1" applyBorder="1">
      <alignment/>
      <protection/>
    </xf>
    <xf numFmtId="0" fontId="21" fillId="36" borderId="14" xfId="57" applyFill="1" applyBorder="1" applyAlignment="1">
      <alignment horizontal="center"/>
      <protection/>
    </xf>
    <xf numFmtId="0" fontId="21" fillId="34" borderId="0" xfId="57" applyFill="1">
      <alignment/>
      <protection/>
    </xf>
    <xf numFmtId="0" fontId="21" fillId="34" borderId="0" xfId="57" applyFont="1" applyFill="1">
      <alignment/>
      <protection/>
    </xf>
    <xf numFmtId="0" fontId="21" fillId="36" borderId="0" xfId="57" applyFill="1">
      <alignment/>
      <protection/>
    </xf>
    <xf numFmtId="0" fontId="21" fillId="0" borderId="0" xfId="57" applyFont="1" applyBorder="1" applyAlignment="1">
      <alignment horizontal="left" vertical="top" wrapText="1"/>
      <protection/>
    </xf>
    <xf numFmtId="0" fontId="21" fillId="0" borderId="0" xfId="57" applyFont="1" applyBorder="1">
      <alignment/>
      <protection/>
    </xf>
    <xf numFmtId="0" fontId="21" fillId="0" borderId="0" xfId="57" applyFont="1" applyAlignment="1">
      <alignment vertical="center"/>
      <protection/>
    </xf>
    <xf numFmtId="16" fontId="29" fillId="0" borderId="14" xfId="57" applyNumberFormat="1" applyFont="1" applyBorder="1" applyAlignment="1">
      <alignment wrapText="1"/>
      <protection/>
    </xf>
    <xf numFmtId="168" fontId="21" fillId="0" borderId="14" xfId="57" applyNumberFormat="1" applyBorder="1" applyAlignment="1">
      <alignment horizontal="center" vertical="center"/>
      <protection/>
    </xf>
    <xf numFmtId="2" fontId="21" fillId="0" borderId="14" xfId="57" applyNumberFormat="1" applyBorder="1">
      <alignment/>
      <protection/>
    </xf>
    <xf numFmtId="2" fontId="29" fillId="0" borderId="14" xfId="57" applyNumberFormat="1" applyFont="1" applyBorder="1" applyAlignment="1">
      <alignment horizontal="center" vertical="center"/>
      <protection/>
    </xf>
    <xf numFmtId="0" fontId="42" fillId="0" borderId="0" xfId="57" applyFont="1" applyBorder="1">
      <alignment/>
      <protection/>
    </xf>
    <xf numFmtId="0" fontId="43" fillId="0" borderId="0" xfId="57" applyFont="1" applyBorder="1" applyAlignment="1">
      <alignment horizontal="left"/>
      <protection/>
    </xf>
    <xf numFmtId="49" fontId="43" fillId="0" borderId="0" xfId="57" applyNumberFormat="1" applyFont="1" applyBorder="1" applyAlignment="1">
      <alignment horizontal="justify" vertical="top" wrapText="1"/>
      <protection/>
    </xf>
    <xf numFmtId="0" fontId="43" fillId="0" borderId="0" xfId="57" applyFont="1" applyFill="1" applyBorder="1" applyAlignment="1">
      <alignment horizontal="left" vertical="top"/>
      <protection/>
    </xf>
    <xf numFmtId="0" fontId="42" fillId="0" borderId="0" xfId="57" applyFont="1" applyBorder="1" applyAlignment="1">
      <alignment wrapText="1"/>
      <protection/>
    </xf>
    <xf numFmtId="0" fontId="21" fillId="0" borderId="0" xfId="57" applyBorder="1" applyAlignment="1">
      <alignment wrapText="1"/>
      <protection/>
    </xf>
    <xf numFmtId="49" fontId="43" fillId="0" borderId="0" xfId="57" applyNumberFormat="1" applyFont="1" applyBorder="1" applyAlignment="1">
      <alignment horizontal="left" vertical="justify"/>
      <protection/>
    </xf>
    <xf numFmtId="49" fontId="44" fillId="0" borderId="0" xfId="57" applyNumberFormat="1" applyFont="1" applyBorder="1" applyAlignment="1">
      <alignment horizontal="left" vertical="justify"/>
      <protection/>
    </xf>
    <xf numFmtId="0" fontId="42" fillId="0" borderId="0" xfId="57" applyFont="1">
      <alignment/>
      <protection/>
    </xf>
    <xf numFmtId="0" fontId="46" fillId="0" borderId="14" xfId="57" applyFont="1" applyBorder="1" applyAlignment="1">
      <alignment horizontal="center"/>
      <protection/>
    </xf>
    <xf numFmtId="0" fontId="47" fillId="0" borderId="14" xfId="57" applyFont="1" applyBorder="1" applyAlignment="1">
      <alignment horizontal="left" vertical="top" wrapText="1"/>
      <protection/>
    </xf>
    <xf numFmtId="0" fontId="48" fillId="0" borderId="14" xfId="57" applyFont="1" applyBorder="1" applyAlignment="1">
      <alignment horizontal="center" wrapText="1"/>
      <protection/>
    </xf>
    <xf numFmtId="0" fontId="47" fillId="0" borderId="14" xfId="57" applyFont="1" applyBorder="1" applyAlignment="1">
      <alignment horizontal="center"/>
      <protection/>
    </xf>
    <xf numFmtId="0" fontId="49" fillId="0" borderId="14" xfId="57" applyFont="1" applyBorder="1" applyAlignment="1">
      <alignment wrapText="1"/>
      <protection/>
    </xf>
    <xf numFmtId="0" fontId="50" fillId="0" borderId="14" xfId="57" applyFont="1" applyBorder="1" applyAlignment="1">
      <alignment horizontal="center"/>
      <protection/>
    </xf>
    <xf numFmtId="164" fontId="49" fillId="0" borderId="14" xfId="44" applyFont="1" applyBorder="1" applyAlignment="1">
      <alignment/>
    </xf>
    <xf numFmtId="1" fontId="21" fillId="0" borderId="14" xfId="57" applyNumberFormat="1" applyFont="1" applyBorder="1">
      <alignment/>
      <protection/>
    </xf>
    <xf numFmtId="164" fontId="51" fillId="0" borderId="14" xfId="44" applyFont="1" applyBorder="1" applyAlignment="1">
      <alignment/>
    </xf>
    <xf numFmtId="1" fontId="21" fillId="0" borderId="14" xfId="57" applyNumberFormat="1" applyFont="1" applyFill="1" applyBorder="1">
      <alignment/>
      <protection/>
    </xf>
    <xf numFmtId="164" fontId="51" fillId="0" borderId="14" xfId="44" applyFont="1" applyFill="1" applyBorder="1" applyAlignment="1">
      <alignment/>
    </xf>
    <xf numFmtId="1" fontId="21" fillId="0" borderId="14" xfId="57" applyNumberFormat="1" applyFont="1" applyFill="1" applyBorder="1" applyAlignment="1">
      <alignment horizontal="center"/>
      <protection/>
    </xf>
    <xf numFmtId="164" fontId="51" fillId="0" borderId="14" xfId="44" applyFont="1" applyBorder="1" applyAlignment="1">
      <alignment horizontal="center"/>
    </xf>
    <xf numFmtId="0" fontId="49" fillId="0" borderId="14" xfId="57" applyFont="1" applyBorder="1">
      <alignment/>
      <protection/>
    </xf>
    <xf numFmtId="169" fontId="51" fillId="0" borderId="14" xfId="44" applyNumberFormat="1" applyFont="1" applyBorder="1" applyAlignment="1">
      <alignment/>
    </xf>
    <xf numFmtId="169" fontId="51" fillId="0" borderId="14" xfId="44" applyNumberFormat="1" applyFont="1" applyBorder="1" applyAlignment="1">
      <alignment horizontal="center"/>
    </xf>
    <xf numFmtId="169" fontId="49" fillId="0" borderId="14" xfId="44" applyNumberFormat="1" applyFont="1" applyBorder="1" applyAlignment="1">
      <alignment/>
    </xf>
    <xf numFmtId="169" fontId="21" fillId="0" borderId="14" xfId="57" applyNumberFormat="1" applyFont="1" applyBorder="1">
      <alignment/>
      <protection/>
    </xf>
    <xf numFmtId="169" fontId="21" fillId="0" borderId="14" xfId="57" applyNumberFormat="1" applyFont="1" applyBorder="1" applyAlignment="1">
      <alignment horizontal="center"/>
      <protection/>
    </xf>
    <xf numFmtId="0" fontId="49" fillId="0" borderId="14" xfId="57" applyFont="1" applyBorder="1" applyAlignment="1">
      <alignment horizontal="left" vertical="top" wrapText="1"/>
      <protection/>
    </xf>
    <xf numFmtId="2" fontId="21" fillId="0" borderId="14" xfId="57" applyNumberFormat="1" applyFont="1" applyBorder="1">
      <alignment/>
      <protection/>
    </xf>
    <xf numFmtId="168" fontId="21" fillId="0" borderId="14" xfId="57" applyNumberFormat="1" applyFont="1" applyBorder="1">
      <alignment/>
      <protection/>
    </xf>
    <xf numFmtId="2" fontId="21" fillId="0" borderId="14" xfId="57" applyNumberFormat="1" applyFont="1" applyBorder="1" applyAlignment="1">
      <alignment horizontal="center"/>
      <protection/>
    </xf>
    <xf numFmtId="1" fontId="21" fillId="0" borderId="0" xfId="57" applyNumberFormat="1">
      <alignment/>
      <protection/>
    </xf>
    <xf numFmtId="170" fontId="49" fillId="0" borderId="14" xfId="44" applyNumberFormat="1" applyFont="1" applyBorder="1" applyAlignment="1">
      <alignment/>
    </xf>
    <xf numFmtId="170" fontId="21" fillId="0" borderId="14" xfId="57" applyNumberFormat="1" applyFont="1" applyBorder="1">
      <alignment/>
      <protection/>
    </xf>
    <xf numFmtId="170" fontId="51" fillId="0" borderId="14" xfId="44" applyNumberFormat="1" applyFont="1" applyBorder="1" applyAlignment="1">
      <alignment/>
    </xf>
    <xf numFmtId="170" fontId="21" fillId="0" borderId="14" xfId="57" applyNumberFormat="1" applyFont="1" applyBorder="1" applyAlignment="1">
      <alignment horizontal="center"/>
      <protection/>
    </xf>
    <xf numFmtId="164" fontId="21" fillId="0" borderId="14" xfId="57" applyNumberFormat="1" applyFont="1" applyBorder="1">
      <alignment/>
      <protection/>
    </xf>
    <xf numFmtId="164" fontId="21" fillId="0" borderId="14" xfId="57" applyNumberFormat="1" applyFont="1" applyBorder="1" applyAlignment="1">
      <alignment horizontal="center"/>
      <protection/>
    </xf>
    <xf numFmtId="164" fontId="52" fillId="0" borderId="0" xfId="57" applyNumberFormat="1" applyFont="1" applyAlignment="1">
      <alignment horizontal="left"/>
      <protection/>
    </xf>
    <xf numFmtId="0" fontId="42" fillId="0" borderId="20" xfId="57" applyFont="1" applyBorder="1" applyAlignment="1">
      <alignment horizontal="center" vertical="top"/>
      <protection/>
    </xf>
    <xf numFmtId="0" fontId="53" fillId="0" borderId="26" xfId="57" applyFont="1" applyBorder="1" applyAlignment="1">
      <alignment horizontal="justify" vertical="top" wrapText="1"/>
      <protection/>
    </xf>
    <xf numFmtId="0" fontId="53" fillId="0" borderId="26" xfId="57" applyFont="1" applyBorder="1" applyAlignment="1">
      <alignment horizontal="center" vertical="top" wrapText="1"/>
      <protection/>
    </xf>
    <xf numFmtId="0" fontId="42" fillId="0" borderId="26" xfId="57" applyFont="1" applyBorder="1">
      <alignment/>
      <protection/>
    </xf>
    <xf numFmtId="0" fontId="42" fillId="0" borderId="27" xfId="57" applyFont="1" applyBorder="1">
      <alignment/>
      <protection/>
    </xf>
    <xf numFmtId="0" fontId="42" fillId="0" borderId="21" xfId="57" applyFont="1" applyBorder="1">
      <alignment/>
      <protection/>
    </xf>
    <xf numFmtId="2" fontId="43" fillId="0" borderId="0" xfId="57" applyNumberFormat="1" applyFont="1" applyBorder="1">
      <alignment/>
      <protection/>
    </xf>
    <xf numFmtId="164" fontId="42" fillId="0" borderId="28" xfId="57" applyNumberFormat="1" applyFont="1" applyBorder="1">
      <alignment/>
      <protection/>
    </xf>
    <xf numFmtId="0" fontId="42" fillId="0" borderId="28" xfId="57" applyFont="1" applyBorder="1">
      <alignment/>
      <protection/>
    </xf>
    <xf numFmtId="0" fontId="42" fillId="0" borderId="0" xfId="57" applyFont="1" applyFill="1" applyBorder="1">
      <alignment/>
      <protection/>
    </xf>
    <xf numFmtId="0" fontId="42" fillId="0" borderId="28" xfId="57" applyFont="1" applyFill="1" applyBorder="1">
      <alignment/>
      <protection/>
    </xf>
    <xf numFmtId="0" fontId="43" fillId="0" borderId="0" xfId="57" applyFont="1" applyFill="1" applyBorder="1">
      <alignment/>
      <protection/>
    </xf>
    <xf numFmtId="0" fontId="42" fillId="0" borderId="19" xfId="57" applyFont="1" applyBorder="1">
      <alignment/>
      <protection/>
    </xf>
    <xf numFmtId="0" fontId="42" fillId="0" borderId="29" xfId="57" applyFont="1" applyBorder="1">
      <alignment/>
      <protection/>
    </xf>
    <xf numFmtId="0" fontId="21" fillId="0" borderId="29" xfId="57" applyBorder="1">
      <alignment/>
      <protection/>
    </xf>
    <xf numFmtId="0" fontId="42" fillId="0" borderId="29" xfId="57" applyFont="1" applyFill="1" applyBorder="1">
      <alignment/>
      <protection/>
    </xf>
    <xf numFmtId="0" fontId="42" fillId="0" borderId="25" xfId="57" applyFont="1" applyFill="1" applyBorder="1">
      <alignment/>
      <protection/>
    </xf>
    <xf numFmtId="0" fontId="21" fillId="36" borderId="0" xfId="57" applyFont="1" applyFill="1" applyBorder="1">
      <alignment/>
      <protection/>
    </xf>
    <xf numFmtId="0" fontId="21" fillId="36" borderId="0" xfId="57" applyFont="1" applyFill="1">
      <alignment/>
      <protection/>
    </xf>
    <xf numFmtId="0" fontId="29" fillId="36" borderId="0" xfId="57" applyFont="1" applyFill="1">
      <alignment/>
      <protection/>
    </xf>
    <xf numFmtId="0" fontId="21" fillId="36" borderId="14" xfId="57" applyFont="1" applyFill="1" applyBorder="1">
      <alignment/>
      <protection/>
    </xf>
    <xf numFmtId="166" fontId="21" fillId="36" borderId="17" xfId="57" applyNumberFormat="1" applyFont="1" applyFill="1" applyBorder="1">
      <alignment/>
      <protection/>
    </xf>
    <xf numFmtId="166" fontId="21" fillId="36" borderId="17" xfId="57" applyNumberFormat="1" applyFont="1" applyFill="1" applyBorder="1" applyAlignment="1">
      <alignment horizontal="center" vertical="center"/>
      <protection/>
    </xf>
    <xf numFmtId="0" fontId="21" fillId="36" borderId="14" xfId="57" applyFont="1" applyFill="1" applyBorder="1" applyAlignment="1">
      <alignment horizontal="center"/>
      <protection/>
    </xf>
    <xf numFmtId="0" fontId="21" fillId="36" borderId="25" xfId="57" applyFont="1" applyFill="1" applyBorder="1">
      <alignment/>
      <protection/>
    </xf>
    <xf numFmtId="0" fontId="21" fillId="36" borderId="17" xfId="57" applyFont="1" applyFill="1" applyBorder="1">
      <alignment/>
      <protection/>
    </xf>
    <xf numFmtId="0" fontId="21" fillId="36" borderId="17" xfId="57" applyFont="1" applyFill="1" applyBorder="1" applyAlignment="1">
      <alignment horizontal="center" vertical="center"/>
      <protection/>
    </xf>
    <xf numFmtId="0" fontId="21" fillId="36" borderId="12" xfId="57" applyFont="1" applyFill="1" applyBorder="1">
      <alignment/>
      <protection/>
    </xf>
    <xf numFmtId="0" fontId="29" fillId="36" borderId="17" xfId="57" applyFont="1" applyFill="1" applyBorder="1" applyAlignment="1">
      <alignment horizontal="right"/>
      <protection/>
    </xf>
    <xf numFmtId="0" fontId="29" fillId="36" borderId="17" xfId="57" applyFont="1" applyFill="1" applyBorder="1" applyAlignment="1">
      <alignment horizontal="center" vertical="center"/>
      <protection/>
    </xf>
    <xf numFmtId="168" fontId="21" fillId="36" borderId="14" xfId="57" applyNumberFormat="1" applyFont="1" applyFill="1" applyBorder="1">
      <alignment/>
      <protection/>
    </xf>
    <xf numFmtId="168" fontId="21" fillId="36" borderId="14" xfId="57" applyNumberFormat="1" applyFont="1" applyFill="1" applyBorder="1" applyAlignment="1">
      <alignment horizontal="center" vertical="center"/>
      <protection/>
    </xf>
    <xf numFmtId="0" fontId="21" fillId="36" borderId="14" xfId="57" applyFont="1" applyFill="1" applyBorder="1" applyAlignment="1">
      <alignment horizontal="left" vertical="top" wrapText="1"/>
      <protection/>
    </xf>
    <xf numFmtId="2" fontId="21" fillId="36" borderId="17" xfId="57" applyNumberFormat="1" applyFont="1" applyFill="1" applyBorder="1">
      <alignment/>
      <protection/>
    </xf>
    <xf numFmtId="2" fontId="21" fillId="36" borderId="17" xfId="57" applyNumberFormat="1" applyFont="1" applyFill="1" applyBorder="1" applyAlignment="1">
      <alignment horizontal="center" vertical="center"/>
      <protection/>
    </xf>
    <xf numFmtId="168" fontId="21" fillId="36" borderId="17" xfId="57" applyNumberFormat="1" applyFont="1" applyFill="1" applyBorder="1">
      <alignment/>
      <protection/>
    </xf>
    <xf numFmtId="168" fontId="21" fillId="36" borderId="17" xfId="57" applyNumberFormat="1" applyFont="1" applyFill="1" applyBorder="1" applyAlignment="1">
      <alignment horizontal="center" vertical="center"/>
      <protection/>
    </xf>
    <xf numFmtId="2" fontId="21" fillId="36" borderId="14" xfId="57" applyNumberFormat="1" applyFont="1" applyFill="1" applyBorder="1">
      <alignment/>
      <protection/>
    </xf>
    <xf numFmtId="2" fontId="21" fillId="36" borderId="15" xfId="57" applyNumberFormat="1" applyFont="1" applyFill="1" applyBorder="1" applyAlignment="1">
      <alignment horizontal="center" vertical="center"/>
      <protection/>
    </xf>
    <xf numFmtId="0" fontId="55" fillId="0" borderId="0" xfId="57" applyFont="1">
      <alignment/>
      <protection/>
    </xf>
    <xf numFmtId="2" fontId="21" fillId="36" borderId="19" xfId="57" applyNumberFormat="1" applyFont="1" applyFill="1" applyBorder="1" applyAlignment="1">
      <alignment horizontal="center" vertical="center"/>
      <protection/>
    </xf>
    <xf numFmtId="1" fontId="21" fillId="36" borderId="17" xfId="57" applyNumberFormat="1" applyFont="1" applyFill="1" applyBorder="1">
      <alignment/>
      <protection/>
    </xf>
    <xf numFmtId="1" fontId="21" fillId="36" borderId="17" xfId="57" applyNumberFormat="1" applyFont="1" applyFill="1" applyBorder="1" applyAlignment="1">
      <alignment horizontal="center" vertical="center"/>
      <protection/>
    </xf>
    <xf numFmtId="10" fontId="21" fillId="36" borderId="14" xfId="57" applyNumberFormat="1" applyFont="1" applyFill="1" applyBorder="1">
      <alignment/>
      <protection/>
    </xf>
    <xf numFmtId="10" fontId="21" fillId="36" borderId="14" xfId="57" applyNumberFormat="1" applyFont="1" applyFill="1" applyBorder="1" applyAlignment="1">
      <alignment horizontal="center" vertical="center"/>
      <protection/>
    </xf>
    <xf numFmtId="0" fontId="38" fillId="36" borderId="14" xfId="57" applyFont="1" applyFill="1" applyBorder="1">
      <alignment/>
      <protection/>
    </xf>
    <xf numFmtId="0" fontId="29" fillId="36" borderId="17" xfId="57" applyFont="1" applyFill="1" applyBorder="1">
      <alignment/>
      <protection/>
    </xf>
    <xf numFmtId="0" fontId="38" fillId="36" borderId="23" xfId="57" applyFont="1" applyFill="1" applyBorder="1">
      <alignment/>
      <protection/>
    </xf>
    <xf numFmtId="0" fontId="21" fillId="36" borderId="23" xfId="57" applyFont="1" applyFill="1" applyBorder="1">
      <alignment/>
      <protection/>
    </xf>
    <xf numFmtId="0" fontId="29" fillId="36" borderId="23" xfId="57" applyFont="1" applyFill="1" applyBorder="1">
      <alignment/>
      <protection/>
    </xf>
    <xf numFmtId="0" fontId="29" fillId="36" borderId="14" xfId="57" applyFont="1" applyFill="1" applyBorder="1">
      <alignment/>
      <protection/>
    </xf>
    <xf numFmtId="2" fontId="29" fillId="36" borderId="17" xfId="57" applyNumberFormat="1" applyFont="1" applyFill="1" applyBorder="1">
      <alignment/>
      <protection/>
    </xf>
    <xf numFmtId="2" fontId="29" fillId="36" borderId="17" xfId="57" applyNumberFormat="1" applyFont="1" applyFill="1" applyBorder="1" applyAlignment="1">
      <alignment horizontal="center" vertical="center"/>
      <protection/>
    </xf>
    <xf numFmtId="0" fontId="21" fillId="36" borderId="0" xfId="57" applyFont="1" applyFill="1" applyAlignment="1">
      <alignment horizontal="center" vertical="center"/>
      <protection/>
    </xf>
    <xf numFmtId="0" fontId="21" fillId="36" borderId="24" xfId="57" applyFont="1" applyFill="1" applyBorder="1" applyAlignment="1">
      <alignment horizontal="left" vertical="top" wrapText="1"/>
      <protection/>
    </xf>
    <xf numFmtId="0" fontId="21" fillId="36" borderId="17" xfId="57" applyFont="1" applyFill="1" applyBorder="1" applyAlignment="1">
      <alignment horizontal="right"/>
      <protection/>
    </xf>
    <xf numFmtId="0" fontId="21" fillId="36" borderId="23" xfId="57" applyFont="1" applyFill="1" applyBorder="1" applyAlignment="1">
      <alignment horizontal="left" vertical="top" wrapText="1"/>
      <protection/>
    </xf>
    <xf numFmtId="10" fontId="21" fillId="36" borderId="17" xfId="57" applyNumberFormat="1" applyFont="1" applyFill="1" applyBorder="1">
      <alignment/>
      <protection/>
    </xf>
    <xf numFmtId="10" fontId="21" fillId="36" borderId="17" xfId="57" applyNumberFormat="1" applyFont="1" applyFill="1" applyBorder="1" applyAlignment="1">
      <alignment horizontal="center" vertical="center"/>
      <protection/>
    </xf>
    <xf numFmtId="0" fontId="21" fillId="36" borderId="0" xfId="57" applyFont="1" applyFill="1" applyAlignment="1">
      <alignment horizontal="left" vertical="top" wrapText="1"/>
      <protection/>
    </xf>
    <xf numFmtId="2" fontId="21" fillId="36" borderId="0" xfId="57" applyNumberFormat="1" applyFont="1" applyFill="1" applyBorder="1">
      <alignment/>
      <protection/>
    </xf>
    <xf numFmtId="0" fontId="21" fillId="36" borderId="22" xfId="57" applyFont="1" applyFill="1" applyBorder="1">
      <alignment/>
      <protection/>
    </xf>
    <xf numFmtId="0" fontId="21" fillId="36" borderId="15" xfId="57" applyFont="1" applyFill="1" applyBorder="1">
      <alignment/>
      <protection/>
    </xf>
    <xf numFmtId="0" fontId="29" fillId="36" borderId="0" xfId="57" applyFont="1" applyFill="1" applyBorder="1">
      <alignment/>
      <protection/>
    </xf>
    <xf numFmtId="0" fontId="29" fillId="36" borderId="0" xfId="57" applyFont="1" applyFill="1" applyBorder="1" applyAlignment="1">
      <alignment/>
      <protection/>
    </xf>
    <xf numFmtId="0" fontId="29" fillId="36" borderId="0" xfId="57" applyFont="1" applyFill="1" applyBorder="1" applyAlignment="1">
      <alignment horizontal="center"/>
      <protection/>
    </xf>
    <xf numFmtId="0" fontId="56" fillId="36" borderId="0" xfId="57" applyFont="1" applyFill="1" applyBorder="1">
      <alignment/>
      <protection/>
    </xf>
    <xf numFmtId="0" fontId="58" fillId="0" borderId="0" xfId="57" applyFont="1" applyAlignment="1">
      <alignment/>
      <protection/>
    </xf>
    <xf numFmtId="0" fontId="59" fillId="0" borderId="14" xfId="57" applyFont="1" applyBorder="1">
      <alignment/>
      <protection/>
    </xf>
    <xf numFmtId="0" fontId="59" fillId="0" borderId="14" xfId="57" applyFont="1" applyBorder="1" applyAlignment="1">
      <alignment horizontal="center" wrapText="1"/>
      <protection/>
    </xf>
    <xf numFmtId="0" fontId="59" fillId="0" borderId="0" xfId="57" applyFont="1">
      <alignment/>
      <protection/>
    </xf>
    <xf numFmtId="0" fontId="59" fillId="0" borderId="14" xfId="57" applyFont="1" applyBorder="1" applyAlignment="1">
      <alignment horizontal="center" vertical="center"/>
      <protection/>
    </xf>
    <xf numFmtId="0" fontId="59" fillId="0" borderId="14" xfId="57" applyFont="1" applyBorder="1" applyAlignment="1">
      <alignment wrapText="1"/>
      <protection/>
    </xf>
    <xf numFmtId="2" fontId="59" fillId="0" borderId="14" xfId="57" applyNumberFormat="1" applyFont="1" applyBorder="1">
      <alignment/>
      <protection/>
    </xf>
    <xf numFmtId="0" fontId="60" fillId="0" borderId="14" xfId="53" applyBorder="1" applyAlignment="1" applyProtection="1">
      <alignment/>
      <protection/>
    </xf>
    <xf numFmtId="0" fontId="22" fillId="0" borderId="14" xfId="59" applyFont="1" applyFill="1" applyBorder="1" applyAlignment="1">
      <alignment horizontal="center" vertical="center"/>
      <protection/>
    </xf>
    <xf numFmtId="0" fontId="29" fillId="0" borderId="14" xfId="59" applyFont="1" applyBorder="1" applyAlignment="1">
      <alignment horizontal="center" vertical="center" wrapText="1"/>
      <protection/>
    </xf>
    <xf numFmtId="0" fontId="23" fillId="0" borderId="15" xfId="59" applyFont="1" applyBorder="1" applyAlignment="1">
      <alignment horizontal="center" vertical="center"/>
      <protection/>
    </xf>
    <xf numFmtId="0" fontId="93" fillId="0" borderId="18" xfId="59" applyBorder="1" applyAlignment="1">
      <alignment horizontal="center"/>
      <protection/>
    </xf>
    <xf numFmtId="0" fontId="23" fillId="0" borderId="16" xfId="59" applyFont="1" applyBorder="1" applyAlignment="1">
      <alignment horizontal="center"/>
      <protection/>
    </xf>
    <xf numFmtId="0" fontId="23" fillId="0" borderId="18" xfId="59" applyFont="1" applyBorder="1" applyAlignment="1">
      <alignment horizontal="center"/>
      <protection/>
    </xf>
    <xf numFmtId="2" fontId="108" fillId="0" borderId="14" xfId="59" applyNumberFormat="1" applyFont="1" applyBorder="1" applyAlignment="1">
      <alignment horizontal="center"/>
      <protection/>
    </xf>
    <xf numFmtId="166" fontId="26" fillId="0" borderId="14" xfId="59" applyNumberFormat="1" applyFont="1" applyBorder="1" applyAlignment="1">
      <alignment horizontal="center"/>
      <protection/>
    </xf>
    <xf numFmtId="166" fontId="26" fillId="34" borderId="14" xfId="59" applyNumberFormat="1" applyFont="1" applyFill="1" applyBorder="1" applyAlignment="1">
      <alignment horizontal="center"/>
      <protection/>
    </xf>
    <xf numFmtId="166" fontId="23" fillId="0" borderId="16" xfId="59" applyNumberFormat="1" applyFont="1" applyBorder="1" applyAlignment="1">
      <alignment horizontal="center"/>
      <protection/>
    </xf>
    <xf numFmtId="0" fontId="93" fillId="33" borderId="14" xfId="59" applyFill="1" applyBorder="1" applyAlignment="1">
      <alignment horizontal="center"/>
      <protection/>
    </xf>
    <xf numFmtId="0" fontId="26" fillId="0" borderId="15" xfId="59" applyFont="1" applyBorder="1" applyAlignment="1">
      <alignment horizontal="center"/>
      <protection/>
    </xf>
    <xf numFmtId="0" fontId="26" fillId="0" borderId="15" xfId="59" applyFont="1" applyBorder="1" applyAlignment="1">
      <alignment horizontal="center" vertical="center"/>
      <protection/>
    </xf>
    <xf numFmtId="0" fontId="93" fillId="0" borderId="16" xfId="59" applyBorder="1" applyAlignment="1">
      <alignment horizontal="center" vertical="center"/>
      <protection/>
    </xf>
    <xf numFmtId="0" fontId="24" fillId="33" borderId="16" xfId="59" applyFont="1" applyFill="1" applyBorder="1" applyAlignment="1">
      <alignment horizontal="center" vertical="center"/>
      <protection/>
    </xf>
    <xf numFmtId="0" fontId="24" fillId="33" borderId="14" xfId="59" applyFont="1" applyFill="1" applyBorder="1" applyAlignment="1">
      <alignment horizontal="center" vertical="center"/>
      <protection/>
    </xf>
    <xf numFmtId="0" fontId="62" fillId="0" borderId="0" xfId="65" applyFont="1" applyBorder="1" applyAlignment="1">
      <alignment/>
      <protection/>
    </xf>
    <xf numFmtId="0" fontId="62" fillId="0" borderId="0" xfId="65" applyFont="1" applyBorder="1" applyAlignment="1">
      <alignment horizontal="center"/>
      <protection/>
    </xf>
    <xf numFmtId="0" fontId="23" fillId="0" borderId="0" xfId="65" applyFont="1" applyBorder="1" applyAlignment="1">
      <alignment/>
      <protection/>
    </xf>
    <xf numFmtId="0" fontId="23" fillId="0" borderId="0" xfId="65" applyFont="1" applyBorder="1" applyAlignment="1">
      <alignment horizontal="center"/>
      <protection/>
    </xf>
    <xf numFmtId="0" fontId="23" fillId="0" borderId="0" xfId="65" applyFont="1" applyBorder="1" applyAlignment="1">
      <alignment horizontal="left"/>
      <protection/>
    </xf>
    <xf numFmtId="0" fontId="1" fillId="0" borderId="0" xfId="65" applyAlignment="1">
      <alignment horizontal="left"/>
      <protection/>
    </xf>
    <xf numFmtId="0" fontId="63" fillId="0" borderId="14" xfId="65" applyFont="1" applyBorder="1" applyAlignment="1">
      <alignment vertical="center"/>
      <protection/>
    </xf>
    <xf numFmtId="0" fontId="63" fillId="0" borderId="14" xfId="65" applyFont="1" applyBorder="1" applyAlignment="1">
      <alignment horizontal="center" vertical="center"/>
      <protection/>
    </xf>
    <xf numFmtId="0" fontId="63" fillId="0" borderId="14" xfId="65" applyFont="1" applyBorder="1" applyAlignment="1">
      <alignment horizontal="center"/>
      <protection/>
    </xf>
    <xf numFmtId="0" fontId="63" fillId="0" borderId="0" xfId="65" applyFont="1" applyBorder="1" applyAlignment="1">
      <alignment horizontal="center"/>
      <protection/>
    </xf>
    <xf numFmtId="0" fontId="63" fillId="0" borderId="0" xfId="65" applyFont="1" applyFill="1" applyBorder="1" applyAlignment="1">
      <alignment horizontal="center"/>
      <protection/>
    </xf>
    <xf numFmtId="0" fontId="64" fillId="0" borderId="14" xfId="65" applyFont="1" applyBorder="1" applyAlignment="1">
      <alignment horizontal="center"/>
      <protection/>
    </xf>
    <xf numFmtId="0" fontId="64" fillId="0" borderId="14" xfId="65" applyFont="1" applyBorder="1">
      <alignment/>
      <protection/>
    </xf>
    <xf numFmtId="0" fontId="64" fillId="0" borderId="0" xfId="65" applyFont="1" applyBorder="1">
      <alignment/>
      <protection/>
    </xf>
    <xf numFmtId="0" fontId="64" fillId="0" borderId="0" xfId="65" applyFont="1" applyFill="1" applyBorder="1">
      <alignment/>
      <protection/>
    </xf>
    <xf numFmtId="0" fontId="64" fillId="0" borderId="0" xfId="65" applyFont="1" applyFill="1" applyBorder="1" applyAlignment="1">
      <alignment horizontal="right"/>
      <protection/>
    </xf>
    <xf numFmtId="0" fontId="64" fillId="0" borderId="21" xfId="65" applyFont="1" applyFill="1" applyBorder="1">
      <alignment/>
      <protection/>
    </xf>
    <xf numFmtId="2" fontId="64" fillId="0" borderId="0" xfId="65" applyNumberFormat="1" applyFont="1" applyFill="1" applyBorder="1">
      <alignment/>
      <protection/>
    </xf>
    <xf numFmtId="166" fontId="65" fillId="0" borderId="0" xfId="57" applyNumberFormat="1" applyFont="1" applyBorder="1">
      <alignment/>
      <protection/>
    </xf>
    <xf numFmtId="0" fontId="64" fillId="0" borderId="28" xfId="65" applyFont="1" applyBorder="1">
      <alignment/>
      <protection/>
    </xf>
    <xf numFmtId="0" fontId="64" fillId="0" borderId="14" xfId="65" applyFont="1" applyBorder="1" applyAlignment="1">
      <alignment wrapText="1" shrinkToFit="1"/>
      <protection/>
    </xf>
    <xf numFmtId="166" fontId="64" fillId="0" borderId="14" xfId="65" applyNumberFormat="1" applyFont="1" applyBorder="1">
      <alignment/>
      <protection/>
    </xf>
    <xf numFmtId="166" fontId="64" fillId="0" borderId="0" xfId="65" applyNumberFormat="1" applyFont="1" applyFill="1" applyBorder="1">
      <alignment/>
      <protection/>
    </xf>
    <xf numFmtId="166" fontId="64" fillId="0" borderId="0" xfId="65" applyNumberFormat="1" applyFont="1" applyBorder="1">
      <alignment/>
      <protection/>
    </xf>
    <xf numFmtId="0" fontId="65" fillId="0" borderId="0" xfId="57" applyFont="1" applyBorder="1">
      <alignment/>
      <protection/>
    </xf>
    <xf numFmtId="2" fontId="64" fillId="0" borderId="0" xfId="65" applyNumberFormat="1" applyFont="1" applyBorder="1">
      <alignment/>
      <protection/>
    </xf>
    <xf numFmtId="2" fontId="66" fillId="0" borderId="0" xfId="57" applyNumberFormat="1" applyFont="1" applyBorder="1">
      <alignment/>
      <protection/>
    </xf>
    <xf numFmtId="0" fontId="66" fillId="0" borderId="0" xfId="57" applyFont="1" applyBorder="1">
      <alignment/>
      <protection/>
    </xf>
    <xf numFmtId="46" fontId="64" fillId="0" borderId="14" xfId="65" applyNumberFormat="1" applyFont="1" applyBorder="1">
      <alignment/>
      <protection/>
    </xf>
    <xf numFmtId="21" fontId="64" fillId="0" borderId="14" xfId="65" applyNumberFormat="1" applyFont="1" applyBorder="1">
      <alignment/>
      <protection/>
    </xf>
    <xf numFmtId="46" fontId="64" fillId="0" borderId="28" xfId="65" applyNumberFormat="1" applyFont="1" applyBorder="1">
      <alignment/>
      <protection/>
    </xf>
    <xf numFmtId="46" fontId="64" fillId="0" borderId="0" xfId="65" applyNumberFormat="1" applyFont="1" applyBorder="1">
      <alignment/>
      <protection/>
    </xf>
    <xf numFmtId="46" fontId="66" fillId="0" borderId="0" xfId="57" applyNumberFormat="1" applyFont="1" applyBorder="1">
      <alignment/>
      <protection/>
    </xf>
    <xf numFmtId="20" fontId="66" fillId="0" borderId="0" xfId="57" applyNumberFormat="1" applyFont="1" applyBorder="1">
      <alignment/>
      <protection/>
    </xf>
    <xf numFmtId="0" fontId="63" fillId="0" borderId="0" xfId="65" applyFont="1" applyBorder="1" applyAlignment="1">
      <alignment/>
      <protection/>
    </xf>
    <xf numFmtId="0" fontId="63" fillId="0" borderId="28" xfId="65" applyFont="1" applyBorder="1" applyAlignment="1">
      <alignment/>
      <protection/>
    </xf>
    <xf numFmtId="0" fontId="63" fillId="0" borderId="16" xfId="65" applyFont="1" applyBorder="1" applyAlignment="1">
      <alignment horizontal="center"/>
      <protection/>
    </xf>
    <xf numFmtId="20" fontId="64" fillId="0" borderId="0" xfId="65" applyNumberFormat="1" applyFont="1" applyBorder="1">
      <alignment/>
      <protection/>
    </xf>
    <xf numFmtId="20" fontId="64" fillId="0" borderId="14" xfId="65" applyNumberFormat="1" applyFont="1" applyBorder="1">
      <alignment/>
      <protection/>
    </xf>
    <xf numFmtId="21" fontId="64" fillId="0" borderId="0" xfId="65" applyNumberFormat="1" applyFont="1" applyBorder="1">
      <alignment/>
      <protection/>
    </xf>
    <xf numFmtId="0" fontId="64" fillId="0" borderId="14" xfId="65" applyNumberFormat="1" applyFont="1" applyBorder="1">
      <alignment/>
      <protection/>
    </xf>
    <xf numFmtId="0" fontId="64" fillId="0" borderId="0" xfId="65" applyNumberFormat="1" applyFont="1" applyBorder="1">
      <alignment/>
      <protection/>
    </xf>
    <xf numFmtId="0" fontId="64" fillId="0" borderId="0" xfId="65" applyNumberFormat="1" applyFont="1" applyFill="1" applyBorder="1">
      <alignment/>
      <protection/>
    </xf>
    <xf numFmtId="0" fontId="63" fillId="0" borderId="18" xfId="65" applyFont="1" applyBorder="1" applyAlignment="1">
      <alignment horizontal="center"/>
      <protection/>
    </xf>
    <xf numFmtId="0" fontId="64" fillId="0" borderId="12" xfId="65" applyFont="1" applyFill="1" applyBorder="1">
      <alignment/>
      <protection/>
    </xf>
    <xf numFmtId="2" fontId="64" fillId="0" borderId="12" xfId="65" applyNumberFormat="1" applyFont="1" applyFill="1" applyBorder="1">
      <alignment/>
      <protection/>
    </xf>
    <xf numFmtId="2" fontId="64" fillId="0" borderId="14" xfId="65" applyNumberFormat="1" applyFont="1" applyBorder="1">
      <alignment/>
      <protection/>
    </xf>
    <xf numFmtId="0" fontId="64" fillId="0" borderId="12" xfId="65" applyFont="1" applyBorder="1">
      <alignment/>
      <protection/>
    </xf>
    <xf numFmtId="0" fontId="64" fillId="0" borderId="0" xfId="65" applyFont="1" applyFill="1" applyAlignment="1">
      <alignment horizontal="center" vertical="center"/>
      <protection/>
    </xf>
    <xf numFmtId="0" fontId="64" fillId="0" borderId="0" xfId="65" applyFont="1">
      <alignment/>
      <protection/>
    </xf>
    <xf numFmtId="2" fontId="21" fillId="0" borderId="0" xfId="57" applyNumberFormat="1" applyAlignment="1">
      <alignment horizontal="center" vertical="center"/>
      <protection/>
    </xf>
    <xf numFmtId="0" fontId="63" fillId="0" borderId="0" xfId="65" applyFont="1" applyAlignment="1">
      <alignment/>
      <protection/>
    </xf>
    <xf numFmtId="0" fontId="116" fillId="36" borderId="0" xfId="57" applyFont="1" applyFill="1">
      <alignment/>
      <protection/>
    </xf>
    <xf numFmtId="0" fontId="63" fillId="0" borderId="14" xfId="65" applyFont="1" applyFill="1" applyBorder="1" applyAlignment="1">
      <alignment horizontal="center"/>
      <protection/>
    </xf>
    <xf numFmtId="0" fontId="64" fillId="0" borderId="14" xfId="65" applyFont="1" applyFill="1" applyBorder="1">
      <alignment/>
      <protection/>
    </xf>
    <xf numFmtId="0" fontId="64" fillId="0" borderId="14" xfId="65" applyFont="1" applyFill="1" applyBorder="1" applyAlignment="1">
      <alignment horizontal="right"/>
      <protection/>
    </xf>
    <xf numFmtId="2" fontId="64" fillId="0" borderId="14" xfId="65" applyNumberFormat="1" applyFont="1" applyFill="1" applyBorder="1">
      <alignment/>
      <protection/>
    </xf>
    <xf numFmtId="166" fontId="65" fillId="0" borderId="14" xfId="57" applyNumberFormat="1" applyFont="1" applyBorder="1">
      <alignment/>
      <protection/>
    </xf>
    <xf numFmtId="166" fontId="64" fillId="0" borderId="14" xfId="65" applyNumberFormat="1" applyFont="1" applyFill="1" applyBorder="1">
      <alignment/>
      <protection/>
    </xf>
    <xf numFmtId="0" fontId="65" fillId="0" borderId="14" xfId="57" applyFont="1" applyBorder="1">
      <alignment/>
      <protection/>
    </xf>
    <xf numFmtId="2" fontId="66" fillId="0" borderId="14" xfId="57" applyNumberFormat="1" applyFont="1" applyBorder="1">
      <alignment/>
      <protection/>
    </xf>
    <xf numFmtId="0" fontId="66" fillId="0" borderId="14" xfId="57" applyFont="1" applyBorder="1">
      <alignment/>
      <protection/>
    </xf>
    <xf numFmtId="46" fontId="66" fillId="0" borderId="14" xfId="57" applyNumberFormat="1" applyFont="1" applyBorder="1">
      <alignment/>
      <protection/>
    </xf>
    <xf numFmtId="20" fontId="66" fillId="0" borderId="14" xfId="57" applyNumberFormat="1" applyFont="1" applyBorder="1">
      <alignment/>
      <protection/>
    </xf>
    <xf numFmtId="0" fontId="63" fillId="0" borderId="13" xfId="65" applyFont="1" applyBorder="1" applyAlignment="1">
      <alignment/>
      <protection/>
    </xf>
    <xf numFmtId="0" fontId="63" fillId="0" borderId="12" xfId="65" applyFont="1" applyBorder="1" applyAlignment="1">
      <alignment/>
      <protection/>
    </xf>
    <xf numFmtId="0" fontId="64" fillId="0" borderId="14" xfId="65" applyNumberFormat="1" applyFont="1" applyFill="1" applyBorder="1">
      <alignment/>
      <protection/>
    </xf>
    <xf numFmtId="0" fontId="93" fillId="0" borderId="0" xfId="61">
      <alignment/>
      <protection/>
    </xf>
    <xf numFmtId="0" fontId="22" fillId="0" borderId="14" xfId="61" applyFont="1" applyBorder="1" applyAlignment="1">
      <alignment horizontal="center" vertical="center" wrapText="1"/>
      <protection/>
    </xf>
    <xf numFmtId="0" fontId="22" fillId="0" borderId="14" xfId="61" applyFont="1" applyBorder="1" applyAlignment="1">
      <alignment horizontal="center" vertical="center"/>
      <protection/>
    </xf>
    <xf numFmtId="0" fontId="22" fillId="0" borderId="17" xfId="61" applyFont="1" applyBorder="1" applyAlignment="1">
      <alignment horizontal="center" vertical="center"/>
      <protection/>
    </xf>
    <xf numFmtId="0" fontId="22" fillId="0" borderId="14" xfId="61" applyFont="1" applyFill="1" applyBorder="1" applyAlignment="1">
      <alignment horizontal="center" vertical="center" wrapText="1"/>
      <protection/>
    </xf>
    <xf numFmtId="0" fontId="22" fillId="0" borderId="14" xfId="61" applyFont="1" applyBorder="1" applyAlignment="1">
      <alignment wrapText="1"/>
      <protection/>
    </xf>
    <xf numFmtId="0" fontId="27" fillId="0" borderId="14" xfId="61" applyFont="1" applyFill="1" applyBorder="1" applyAlignment="1">
      <alignment horizontal="center" vertical="center" wrapText="1"/>
      <protection/>
    </xf>
    <xf numFmtId="0" fontId="24" fillId="0" borderId="14" xfId="61" applyFont="1" applyBorder="1" applyAlignment="1">
      <alignment horizontal="center" vertical="center"/>
      <protection/>
    </xf>
    <xf numFmtId="0" fontId="24" fillId="0" borderId="17" xfId="61" applyFont="1" applyBorder="1" applyAlignment="1">
      <alignment horizontal="center" vertical="center"/>
      <protection/>
    </xf>
    <xf numFmtId="0" fontId="24" fillId="0" borderId="14" xfId="61" applyFont="1" applyFill="1" applyBorder="1" applyAlignment="1">
      <alignment horizontal="center" vertical="center"/>
      <protection/>
    </xf>
    <xf numFmtId="0" fontId="24" fillId="0" borderId="14" xfId="61" applyFont="1" applyFill="1" applyBorder="1" applyAlignment="1">
      <alignment horizontal="center" vertical="center" wrapText="1"/>
      <protection/>
    </xf>
    <xf numFmtId="0" fontId="0" fillId="0" borderId="14" xfId="61" applyFont="1" applyBorder="1" applyAlignment="1">
      <alignment wrapText="1"/>
      <protection/>
    </xf>
    <xf numFmtId="0" fontId="24" fillId="0" borderId="16" xfId="61" applyFont="1" applyFill="1" applyBorder="1" applyAlignment="1">
      <alignment horizontal="center" vertical="center" wrapText="1"/>
      <protection/>
    </xf>
    <xf numFmtId="0" fontId="24" fillId="0" borderId="15" xfId="61" applyFont="1" applyBorder="1" applyAlignment="1">
      <alignment horizontal="center" vertical="center"/>
      <protection/>
    </xf>
    <xf numFmtId="0" fontId="25" fillId="0" borderId="14" xfId="61" applyFont="1" applyBorder="1" applyAlignment="1">
      <alignment horizontal="center" vertical="center"/>
      <protection/>
    </xf>
    <xf numFmtId="0" fontId="115" fillId="0" borderId="14" xfId="61" applyFont="1" applyBorder="1" applyAlignment="1">
      <alignment horizontal="center" vertical="center" wrapText="1"/>
      <protection/>
    </xf>
    <xf numFmtId="0" fontId="93" fillId="0" borderId="17" xfId="61" applyBorder="1" applyAlignment="1">
      <alignment/>
      <protection/>
    </xf>
    <xf numFmtId="0" fontId="93" fillId="0" borderId="12" xfId="61" applyBorder="1" applyAlignment="1">
      <alignment/>
      <protection/>
    </xf>
    <xf numFmtId="0" fontId="93" fillId="0" borderId="14" xfId="61" applyBorder="1">
      <alignment/>
      <protection/>
    </xf>
    <xf numFmtId="0" fontId="93" fillId="0" borderId="17" xfId="61" applyBorder="1">
      <alignment/>
      <protection/>
    </xf>
    <xf numFmtId="0" fontId="93" fillId="0" borderId="14" xfId="61" applyBorder="1" applyAlignment="1">
      <alignment horizontal="center"/>
      <protection/>
    </xf>
    <xf numFmtId="0" fontId="93" fillId="0" borderId="14" xfId="61" applyBorder="1" applyAlignment="1">
      <alignment horizontal="center" vertical="center"/>
      <protection/>
    </xf>
    <xf numFmtId="16" fontId="25" fillId="0" borderId="14" xfId="61" applyNumberFormat="1" applyFont="1" applyBorder="1" applyAlignment="1">
      <alignment vertical="center"/>
      <protection/>
    </xf>
    <xf numFmtId="0" fontId="19" fillId="0" borderId="14" xfId="61" applyFont="1" applyBorder="1" applyAlignment="1">
      <alignment vertical="center"/>
      <protection/>
    </xf>
    <xf numFmtId="0" fontId="19" fillId="0" borderId="14" xfId="61" applyFont="1" applyBorder="1" applyAlignment="1">
      <alignment horizontal="center" vertical="center"/>
      <protection/>
    </xf>
    <xf numFmtId="1" fontId="19" fillId="0" borderId="14" xfId="61" applyNumberFormat="1" applyFont="1" applyBorder="1" applyAlignment="1">
      <alignment horizontal="center" vertical="center"/>
      <protection/>
    </xf>
    <xf numFmtId="0" fontId="93" fillId="0" borderId="15" xfId="61" applyBorder="1" applyAlignment="1">
      <alignment horizontal="center" vertical="center"/>
      <protection/>
    </xf>
    <xf numFmtId="2" fontId="1" fillId="0" borderId="15" xfId="61" applyNumberFormat="1" applyFont="1" applyBorder="1" applyAlignment="1">
      <alignment horizontal="center" vertical="center"/>
      <protection/>
    </xf>
    <xf numFmtId="0" fontId="93" fillId="0" borderId="20" xfId="61" applyBorder="1" applyAlignment="1">
      <alignment/>
      <protection/>
    </xf>
    <xf numFmtId="2" fontId="93" fillId="0" borderId="14" xfId="61" applyNumberFormat="1" applyBorder="1" applyAlignment="1">
      <alignment horizontal="center"/>
      <protection/>
    </xf>
    <xf numFmtId="0" fontId="23" fillId="0" borderId="14" xfId="61" applyFont="1" applyBorder="1" applyAlignment="1">
      <alignment horizontal="center"/>
      <protection/>
    </xf>
    <xf numFmtId="168" fontId="93" fillId="0" borderId="14" xfId="61" applyNumberFormat="1" applyBorder="1" applyAlignment="1">
      <alignment horizontal="center"/>
      <protection/>
    </xf>
    <xf numFmtId="0" fontId="1" fillId="0" borderId="14" xfId="61" applyFont="1" applyBorder="1" applyAlignment="1">
      <alignment horizontal="center"/>
      <protection/>
    </xf>
    <xf numFmtId="2" fontId="1" fillId="0" borderId="14" xfId="61" applyNumberFormat="1" applyFont="1" applyBorder="1" applyAlignment="1">
      <alignment horizontal="center"/>
      <protection/>
    </xf>
    <xf numFmtId="0" fontId="93" fillId="0" borderId="19" xfId="61" applyBorder="1" applyAlignment="1">
      <alignment vertical="center"/>
      <protection/>
    </xf>
    <xf numFmtId="0" fontId="26" fillId="0" borderId="14" xfId="61" applyFont="1" applyBorder="1" applyAlignment="1">
      <alignment horizontal="center" vertical="center"/>
      <protection/>
    </xf>
    <xf numFmtId="1" fontId="26" fillId="0" borderId="14" xfId="61" applyNumberFormat="1" applyFont="1" applyBorder="1" applyAlignment="1">
      <alignment horizontal="center" vertical="center"/>
      <protection/>
    </xf>
    <xf numFmtId="0" fontId="23" fillId="0" borderId="14" xfId="61" applyFont="1" applyBorder="1" applyAlignment="1">
      <alignment horizontal="center" vertical="center"/>
      <protection/>
    </xf>
    <xf numFmtId="2" fontId="23" fillId="0" borderId="15" xfId="61" applyNumberFormat="1" applyFont="1" applyBorder="1" applyAlignment="1">
      <alignment horizontal="center" vertical="center"/>
      <protection/>
    </xf>
    <xf numFmtId="0" fontId="93" fillId="0" borderId="21" xfId="61" applyBorder="1" applyAlignment="1">
      <alignment vertical="center"/>
      <protection/>
    </xf>
    <xf numFmtId="0" fontId="23" fillId="33" borderId="14" xfId="61" applyFont="1" applyFill="1" applyBorder="1" applyAlignment="1">
      <alignment horizontal="center"/>
      <protection/>
    </xf>
    <xf numFmtId="2" fontId="108" fillId="0" borderId="14" xfId="61" applyNumberFormat="1" applyFont="1" applyBorder="1" applyAlignment="1">
      <alignment horizontal="center" vertical="center"/>
      <protection/>
    </xf>
    <xf numFmtId="0" fontId="19" fillId="0" borderId="14" xfId="61" applyFont="1" applyBorder="1" applyAlignment="1">
      <alignment horizontal="center"/>
      <protection/>
    </xf>
    <xf numFmtId="1" fontId="19" fillId="0" borderId="14" xfId="61" applyNumberFormat="1" applyFont="1" applyBorder="1" applyAlignment="1">
      <alignment horizontal="center"/>
      <protection/>
    </xf>
    <xf numFmtId="1" fontId="19" fillId="34" borderId="14" xfId="61" applyNumberFormat="1" applyFont="1" applyFill="1" applyBorder="1" applyAlignment="1">
      <alignment horizontal="center"/>
      <protection/>
    </xf>
    <xf numFmtId="0" fontId="1" fillId="0" borderId="14" xfId="61" applyFont="1" applyBorder="1" applyAlignment="1">
      <alignment horizontal="center" vertical="center"/>
      <protection/>
    </xf>
    <xf numFmtId="0" fontId="1" fillId="33" borderId="14" xfId="61" applyFont="1" applyFill="1" applyBorder="1" applyAlignment="1">
      <alignment horizontal="center"/>
      <protection/>
    </xf>
    <xf numFmtId="0" fontId="22" fillId="0" borderId="16" xfId="61" applyFont="1" applyBorder="1" applyAlignment="1">
      <alignment horizontal="center" vertical="center"/>
      <protection/>
    </xf>
    <xf numFmtId="0" fontId="24" fillId="0" borderId="16" xfId="61" applyFont="1" applyBorder="1" applyAlignment="1">
      <alignment horizontal="center" vertical="center"/>
      <protection/>
    </xf>
    <xf numFmtId="0" fontId="19" fillId="0" borderId="16" xfId="61" applyFont="1" applyBorder="1" applyAlignment="1">
      <alignment horizontal="center"/>
      <protection/>
    </xf>
    <xf numFmtId="1" fontId="26" fillId="34" borderId="14" xfId="61" applyNumberFormat="1" applyFont="1" applyFill="1" applyBorder="1" applyAlignment="1">
      <alignment horizontal="center"/>
      <protection/>
    </xf>
    <xf numFmtId="1" fontId="26" fillId="0" borderId="14" xfId="61" applyNumberFormat="1" applyFont="1" applyBorder="1" applyAlignment="1">
      <alignment horizontal="center"/>
      <protection/>
    </xf>
    <xf numFmtId="0" fontId="108" fillId="0" borderId="15" xfId="61" applyFont="1" applyBorder="1" applyAlignment="1">
      <alignment horizontal="center" vertical="center"/>
      <protection/>
    </xf>
    <xf numFmtId="0" fontId="23" fillId="0" borderId="21" xfId="61" applyFont="1" applyBorder="1" applyAlignment="1">
      <alignment horizontal="center"/>
      <protection/>
    </xf>
    <xf numFmtId="0" fontId="19" fillId="0" borderId="14" xfId="61" applyFont="1" applyFill="1" applyBorder="1" applyAlignment="1">
      <alignment horizontal="center"/>
      <protection/>
    </xf>
    <xf numFmtId="0" fontId="19" fillId="0" borderId="16" xfId="61" applyFont="1" applyFill="1" applyBorder="1" applyAlignment="1">
      <alignment horizontal="center"/>
      <protection/>
    </xf>
    <xf numFmtId="0" fontId="23" fillId="0" borderId="19" xfId="61" applyFont="1" applyBorder="1" applyAlignment="1">
      <alignment horizontal="center"/>
      <protection/>
    </xf>
    <xf numFmtId="2" fontId="19" fillId="0" borderId="14" xfId="61" applyNumberFormat="1" applyFont="1" applyBorder="1" applyAlignment="1">
      <alignment horizontal="center"/>
      <protection/>
    </xf>
    <xf numFmtId="2" fontId="1" fillId="0" borderId="15" xfId="61" applyNumberFormat="1" applyFont="1" applyBorder="1" applyAlignment="1">
      <alignment horizontal="center"/>
      <protection/>
    </xf>
    <xf numFmtId="168" fontId="19" fillId="0" borderId="14" xfId="61" applyNumberFormat="1" applyFont="1" applyBorder="1" applyAlignment="1">
      <alignment horizontal="center"/>
      <protection/>
    </xf>
    <xf numFmtId="16" fontId="24" fillId="0" borderId="16" xfId="61" applyNumberFormat="1" applyFont="1" applyBorder="1" applyAlignment="1">
      <alignment horizontal="center" vertical="center"/>
      <protection/>
    </xf>
    <xf numFmtId="2" fontId="23" fillId="0" borderId="15" xfId="61" applyNumberFormat="1" applyFont="1" applyBorder="1" applyAlignment="1">
      <alignment horizontal="center"/>
      <protection/>
    </xf>
    <xf numFmtId="0" fontId="23" fillId="0" borderId="20" xfId="61" applyFont="1" applyBorder="1" applyAlignment="1">
      <alignment horizontal="center"/>
      <protection/>
    </xf>
    <xf numFmtId="0" fontId="108" fillId="0" borderId="14" xfId="61" applyFont="1" applyBorder="1" applyAlignment="1">
      <alignment horizontal="center" vertical="center"/>
      <protection/>
    </xf>
    <xf numFmtId="0" fontId="108" fillId="0" borderId="14" xfId="61" applyFont="1" applyBorder="1" applyAlignment="1">
      <alignment horizontal="center"/>
      <protection/>
    </xf>
    <xf numFmtId="0" fontId="26" fillId="34" borderId="14" xfId="61" applyFont="1" applyFill="1" applyBorder="1" applyAlignment="1">
      <alignment horizontal="center"/>
      <protection/>
    </xf>
    <xf numFmtId="0" fontId="19" fillId="34" borderId="14" xfId="61" applyFont="1" applyFill="1" applyBorder="1" applyAlignment="1">
      <alignment horizontal="center"/>
      <protection/>
    </xf>
    <xf numFmtId="0" fontId="23" fillId="0" borderId="17" xfId="61" applyFont="1" applyBorder="1" applyAlignment="1">
      <alignment horizontal="center"/>
      <protection/>
    </xf>
    <xf numFmtId="0" fontId="22" fillId="0" borderId="18" xfId="61" applyFont="1" applyBorder="1" applyAlignment="1">
      <alignment horizontal="center" vertical="center"/>
      <protection/>
    </xf>
    <xf numFmtId="16" fontId="24" fillId="0" borderId="18" xfId="61" applyNumberFormat="1" applyFont="1" applyBorder="1" applyAlignment="1">
      <alignment horizontal="center" vertical="center"/>
      <protection/>
    </xf>
    <xf numFmtId="0" fontId="26" fillId="0" borderId="14" xfId="61" applyFont="1" applyBorder="1" applyAlignment="1">
      <alignment horizontal="center"/>
      <protection/>
    </xf>
    <xf numFmtId="0" fontId="93" fillId="0" borderId="15" xfId="61" applyBorder="1" applyAlignment="1">
      <alignment horizontal="center"/>
      <protection/>
    </xf>
    <xf numFmtId="0" fontId="108" fillId="0" borderId="18" xfId="61" applyFont="1" applyBorder="1" applyAlignment="1">
      <alignment horizontal="center"/>
      <protection/>
    </xf>
    <xf numFmtId="16" fontId="24" fillId="0" borderId="14" xfId="61" applyNumberFormat="1" applyFont="1" applyBorder="1" applyAlignment="1">
      <alignment horizontal="center" vertical="center"/>
      <protection/>
    </xf>
    <xf numFmtId="0" fontId="19" fillId="0" borderId="15" xfId="61" applyFont="1" applyBorder="1" applyAlignment="1">
      <alignment horizontal="center"/>
      <protection/>
    </xf>
    <xf numFmtId="0" fontId="19" fillId="0" borderId="15" xfId="61" applyFont="1" applyBorder="1" applyAlignment="1">
      <alignment horizontal="center" vertical="center"/>
      <protection/>
    </xf>
    <xf numFmtId="0" fontId="23" fillId="0" borderId="17" xfId="61" applyFont="1" applyBorder="1" applyAlignment="1">
      <alignment horizontal="center" vertical="center"/>
      <protection/>
    </xf>
    <xf numFmtId="0" fontId="93" fillId="0" borderId="18" xfId="61" applyBorder="1" applyAlignment="1">
      <alignment horizontal="center" vertical="center"/>
      <protection/>
    </xf>
    <xf numFmtId="168" fontId="19" fillId="0" borderId="14" xfId="61" applyNumberFormat="1" applyFont="1" applyBorder="1" applyAlignment="1">
      <alignment vertical="center"/>
      <protection/>
    </xf>
    <xf numFmtId="0" fontId="23" fillId="0" borderId="16" xfId="61" applyFont="1" applyBorder="1" applyAlignment="1">
      <alignment horizontal="center" vertical="center"/>
      <protection/>
    </xf>
    <xf numFmtId="0" fontId="93" fillId="0" borderId="0" xfId="61" applyBorder="1" applyAlignment="1">
      <alignment horizontal="center" vertical="center"/>
      <protection/>
    </xf>
    <xf numFmtId="16" fontId="25" fillId="0" borderId="15" xfId="61" applyNumberFormat="1" applyFont="1" applyBorder="1" applyAlignment="1">
      <alignment vertical="center"/>
      <protection/>
    </xf>
    <xf numFmtId="0" fontId="19" fillId="0" borderId="15" xfId="61" applyFont="1" applyBorder="1" applyAlignment="1">
      <alignment vertical="center"/>
      <protection/>
    </xf>
    <xf numFmtId="1" fontId="19" fillId="0" borderId="15" xfId="61" applyNumberFormat="1" applyFont="1" applyBorder="1" applyAlignment="1">
      <alignment horizontal="center" vertical="center"/>
      <protection/>
    </xf>
    <xf numFmtId="0" fontId="22" fillId="0" borderId="0" xfId="61" applyFont="1" applyBorder="1" applyAlignment="1">
      <alignment vertical="center"/>
      <protection/>
    </xf>
    <xf numFmtId="16" fontId="24" fillId="0" borderId="0" xfId="61" applyNumberFormat="1" applyFont="1" applyBorder="1" applyAlignment="1">
      <alignment vertical="center"/>
      <protection/>
    </xf>
    <xf numFmtId="16" fontId="25" fillId="0" borderId="0" xfId="61" applyNumberFormat="1" applyFont="1" applyBorder="1" applyAlignment="1">
      <alignment vertical="center"/>
      <protection/>
    </xf>
    <xf numFmtId="0" fontId="19" fillId="0" borderId="0" xfId="61" applyFont="1" applyBorder="1" applyAlignment="1">
      <alignment vertical="center"/>
      <protection/>
    </xf>
    <xf numFmtId="168" fontId="19" fillId="0" borderId="0" xfId="61" applyNumberFormat="1" applyFont="1" applyBorder="1" applyAlignment="1">
      <alignment vertical="center"/>
      <protection/>
    </xf>
    <xf numFmtId="1" fontId="19" fillId="0" borderId="0" xfId="61" applyNumberFormat="1" applyFont="1" applyBorder="1" applyAlignment="1">
      <alignment vertical="center"/>
      <protection/>
    </xf>
    <xf numFmtId="0" fontId="93" fillId="0" borderId="0" xfId="61" applyBorder="1" applyAlignment="1">
      <alignment vertical="center"/>
      <protection/>
    </xf>
    <xf numFmtId="0" fontId="93" fillId="0" borderId="0" xfId="61" applyAlignment="1">
      <alignment horizontal="center"/>
      <protection/>
    </xf>
    <xf numFmtId="0" fontId="93" fillId="0" borderId="0" xfId="61" applyAlignment="1">
      <alignment horizontal="center" vertical="center"/>
      <protection/>
    </xf>
    <xf numFmtId="2" fontId="93" fillId="0" borderId="0" xfId="61" applyNumberFormat="1" applyAlignment="1">
      <alignment horizontal="center" vertical="center"/>
      <protection/>
    </xf>
    <xf numFmtId="1" fontId="23" fillId="0" borderId="0" xfId="61" applyNumberFormat="1" applyFont="1" applyAlignment="1">
      <alignment horizontal="center" vertical="center"/>
      <protection/>
    </xf>
    <xf numFmtId="2" fontId="93" fillId="0" borderId="0" xfId="61" applyNumberFormat="1" applyAlignment="1">
      <alignment horizontal="center"/>
      <protection/>
    </xf>
    <xf numFmtId="2" fontId="93" fillId="0" borderId="0" xfId="61" applyNumberFormat="1" applyFill="1" applyBorder="1" applyAlignment="1">
      <alignment horizontal="center" vertical="center"/>
      <protection/>
    </xf>
    <xf numFmtId="2" fontId="21" fillId="0" borderId="0" xfId="57" applyNumberFormat="1" applyAlignment="1">
      <alignment horizontal="center"/>
      <protection/>
    </xf>
    <xf numFmtId="2" fontId="23" fillId="0" borderId="0" xfId="61" applyNumberFormat="1" applyFont="1" applyAlignment="1">
      <alignment horizontal="center"/>
      <protection/>
    </xf>
    <xf numFmtId="2" fontId="93" fillId="0" borderId="0" xfId="61" applyNumberFormat="1">
      <alignment/>
      <protection/>
    </xf>
    <xf numFmtId="0" fontId="22" fillId="0" borderId="0" xfId="61" applyFont="1" applyFill="1" applyBorder="1" applyAlignment="1">
      <alignment horizontal="center" vertical="center" wrapText="1"/>
      <protection/>
    </xf>
    <xf numFmtId="0" fontId="22" fillId="0" borderId="0" xfId="61" applyFont="1" applyBorder="1" applyAlignment="1">
      <alignment vertical="center" wrapText="1"/>
      <protection/>
    </xf>
    <xf numFmtId="0" fontId="93" fillId="0" borderId="13" xfId="61" applyBorder="1" applyAlignment="1">
      <alignment/>
      <protection/>
    </xf>
    <xf numFmtId="0" fontId="93" fillId="0" borderId="14" xfId="61" applyBorder="1" applyAlignment="1">
      <alignment/>
      <protection/>
    </xf>
    <xf numFmtId="2" fontId="23" fillId="33" borderId="14" xfId="61" applyNumberFormat="1" applyFont="1" applyFill="1" applyBorder="1" applyAlignment="1">
      <alignment horizontal="center"/>
      <protection/>
    </xf>
    <xf numFmtId="0" fontId="93" fillId="0" borderId="18" xfId="61" applyBorder="1" applyAlignment="1">
      <alignment horizontal="center"/>
      <protection/>
    </xf>
    <xf numFmtId="0" fontId="23" fillId="0" borderId="16" xfId="61" applyFont="1" applyBorder="1" applyAlignment="1">
      <alignment horizontal="center"/>
      <protection/>
    </xf>
    <xf numFmtId="0" fontId="93" fillId="0" borderId="15" xfId="61" applyFont="1" applyBorder="1" applyAlignment="1">
      <alignment horizontal="center" vertical="center"/>
      <protection/>
    </xf>
    <xf numFmtId="2" fontId="108" fillId="0" borderId="14" xfId="61" applyNumberFormat="1" applyFont="1" applyBorder="1" applyAlignment="1">
      <alignment horizontal="center"/>
      <protection/>
    </xf>
    <xf numFmtId="0" fontId="93" fillId="0" borderId="16" xfId="61" applyBorder="1" applyAlignment="1">
      <alignment horizontal="center" vertical="center"/>
      <protection/>
    </xf>
    <xf numFmtId="0" fontId="93" fillId="0" borderId="0" xfId="61" applyFont="1">
      <alignment/>
      <protection/>
    </xf>
    <xf numFmtId="0" fontId="93" fillId="0" borderId="0" xfId="61" applyAlignment="1">
      <alignment/>
      <protection/>
    </xf>
    <xf numFmtId="166" fontId="26" fillId="0" borderId="14" xfId="61" applyNumberFormat="1" applyFont="1" applyBorder="1" applyAlignment="1">
      <alignment horizontal="center"/>
      <protection/>
    </xf>
    <xf numFmtId="2" fontId="23" fillId="0" borderId="14" xfId="61" applyNumberFormat="1" applyFont="1" applyBorder="1" applyAlignment="1">
      <alignment horizontal="center"/>
      <protection/>
    </xf>
    <xf numFmtId="166" fontId="26" fillId="34" borderId="14" xfId="61" applyNumberFormat="1" applyFont="1" applyFill="1" applyBorder="1" applyAlignment="1">
      <alignment horizontal="center"/>
      <protection/>
    </xf>
    <xf numFmtId="166" fontId="23" fillId="0" borderId="16" xfId="61" applyNumberFormat="1" applyFont="1" applyBorder="1" applyAlignment="1">
      <alignment horizontal="center"/>
      <protection/>
    </xf>
    <xf numFmtId="0" fontId="24" fillId="33" borderId="16" xfId="61" applyFont="1" applyFill="1" applyBorder="1" applyAlignment="1">
      <alignment horizontal="center" vertical="center"/>
      <protection/>
    </xf>
    <xf numFmtId="2" fontId="23" fillId="0" borderId="14" xfId="61" applyNumberFormat="1" applyFont="1" applyBorder="1" applyAlignment="1">
      <alignment horizontal="center" vertical="center"/>
      <protection/>
    </xf>
    <xf numFmtId="0" fontId="93" fillId="0" borderId="0" xfId="58">
      <alignment/>
      <protection/>
    </xf>
    <xf numFmtId="0" fontId="22" fillId="0" borderId="14" xfId="58" applyFont="1" applyBorder="1" applyAlignment="1">
      <alignment horizontal="center" vertical="center" wrapText="1"/>
      <protection/>
    </xf>
    <xf numFmtId="0" fontId="22" fillId="0" borderId="14" xfId="58" applyFont="1" applyBorder="1" applyAlignment="1">
      <alignment horizontal="center" vertical="center"/>
      <protection/>
    </xf>
    <xf numFmtId="0" fontId="22" fillId="0" borderId="17" xfId="58" applyFont="1" applyBorder="1" applyAlignment="1">
      <alignment horizontal="center" vertical="center"/>
      <protection/>
    </xf>
    <xf numFmtId="0" fontId="22" fillId="0" borderId="14" xfId="58" applyFont="1" applyFill="1" applyBorder="1" applyAlignment="1">
      <alignment horizontal="center" vertical="center" wrapText="1"/>
      <protection/>
    </xf>
    <xf numFmtId="0" fontId="22" fillId="0" borderId="14" xfId="58" applyFont="1" applyBorder="1" applyAlignment="1">
      <alignment wrapText="1"/>
      <protection/>
    </xf>
    <xf numFmtId="0" fontId="27" fillId="0" borderId="14" xfId="58" applyFont="1" applyFill="1" applyBorder="1" applyAlignment="1">
      <alignment horizontal="center" vertical="center" wrapText="1"/>
      <protection/>
    </xf>
    <xf numFmtId="0" fontId="24" fillId="0" borderId="14" xfId="58" applyFont="1" applyBorder="1" applyAlignment="1">
      <alignment horizontal="center" vertical="center"/>
      <protection/>
    </xf>
    <xf numFmtId="0" fontId="24" fillId="0" borderId="17" xfId="58" applyFont="1" applyBorder="1" applyAlignment="1">
      <alignment horizontal="center" vertical="center"/>
      <protection/>
    </xf>
    <xf numFmtId="0" fontId="24" fillId="0" borderId="14" xfId="58" applyFont="1" applyFill="1" applyBorder="1" applyAlignment="1">
      <alignment horizontal="center" vertical="center"/>
      <protection/>
    </xf>
    <xf numFmtId="0" fontId="24" fillId="0" borderId="14" xfId="58" applyFont="1" applyFill="1" applyBorder="1" applyAlignment="1">
      <alignment horizontal="center" vertical="center" wrapText="1"/>
      <protection/>
    </xf>
    <xf numFmtId="0" fontId="0" fillId="0" borderId="14" xfId="58" applyFont="1" applyBorder="1" applyAlignment="1">
      <alignment wrapText="1"/>
      <protection/>
    </xf>
    <xf numFmtId="0" fontId="24" fillId="0" borderId="15" xfId="58" applyFont="1" applyBorder="1" applyAlignment="1">
      <alignment horizontal="center" vertical="center"/>
      <protection/>
    </xf>
    <xf numFmtId="0" fontId="25" fillId="0" borderId="14" xfId="58" applyFont="1" applyBorder="1" applyAlignment="1">
      <alignment horizontal="center" vertical="center"/>
      <protection/>
    </xf>
    <xf numFmtId="0" fontId="115" fillId="0" borderId="14" xfId="58" applyFont="1" applyBorder="1" applyAlignment="1">
      <alignment horizontal="center" vertical="center" wrapText="1"/>
      <protection/>
    </xf>
    <xf numFmtId="0" fontId="93" fillId="0" borderId="17" xfId="58" applyBorder="1" applyAlignment="1">
      <alignment/>
      <protection/>
    </xf>
    <xf numFmtId="0" fontId="93" fillId="0" borderId="12" xfId="58" applyBorder="1" applyAlignment="1">
      <alignment/>
      <protection/>
    </xf>
    <xf numFmtId="0" fontId="93" fillId="0" borderId="14" xfId="58" applyBorder="1">
      <alignment/>
      <protection/>
    </xf>
    <xf numFmtId="0" fontId="93" fillId="0" borderId="17" xfId="58" applyBorder="1">
      <alignment/>
      <protection/>
    </xf>
    <xf numFmtId="0" fontId="93" fillId="0" borderId="14" xfId="58" applyBorder="1" applyAlignment="1">
      <alignment horizontal="center"/>
      <protection/>
    </xf>
    <xf numFmtId="0" fontId="93" fillId="0" borderId="14" xfId="58" applyBorder="1" applyAlignment="1">
      <alignment horizontal="center" vertical="center"/>
      <protection/>
    </xf>
    <xf numFmtId="16" fontId="25" fillId="0" borderId="14" xfId="58" applyNumberFormat="1" applyFont="1" applyBorder="1" applyAlignment="1">
      <alignment vertical="center"/>
      <protection/>
    </xf>
    <xf numFmtId="0" fontId="19" fillId="0" borderId="14" xfId="58" applyFont="1" applyBorder="1" applyAlignment="1">
      <alignment vertical="center"/>
      <protection/>
    </xf>
    <xf numFmtId="0" fontId="19" fillId="0" borderId="14" xfId="58" applyFont="1" applyBorder="1" applyAlignment="1">
      <alignment horizontal="center" vertical="center"/>
      <protection/>
    </xf>
    <xf numFmtId="1" fontId="19" fillId="0" borderId="14" xfId="58" applyNumberFormat="1" applyFont="1" applyBorder="1" applyAlignment="1">
      <alignment horizontal="center" vertical="center"/>
      <protection/>
    </xf>
    <xf numFmtId="0" fontId="93" fillId="0" borderId="15" xfId="58" applyBorder="1" applyAlignment="1">
      <alignment horizontal="center" vertical="center"/>
      <protection/>
    </xf>
    <xf numFmtId="2" fontId="1" fillId="0" borderId="15" xfId="58" applyNumberFormat="1" applyFont="1" applyBorder="1" applyAlignment="1">
      <alignment horizontal="center" vertical="center"/>
      <protection/>
    </xf>
    <xf numFmtId="0" fontId="93" fillId="0" borderId="20" xfId="58" applyBorder="1" applyAlignment="1">
      <alignment/>
      <protection/>
    </xf>
    <xf numFmtId="2" fontId="93" fillId="0" borderId="14" xfId="58" applyNumberFormat="1" applyBorder="1" applyAlignment="1">
      <alignment horizontal="center"/>
      <protection/>
    </xf>
    <xf numFmtId="0" fontId="23" fillId="0" borderId="14" xfId="58" applyFont="1" applyBorder="1" applyAlignment="1">
      <alignment horizontal="center"/>
      <protection/>
    </xf>
    <xf numFmtId="168" fontId="93" fillId="0" borderId="14" xfId="58" applyNumberFormat="1" applyBorder="1" applyAlignment="1">
      <alignment horizontal="center"/>
      <protection/>
    </xf>
    <xf numFmtId="0" fontId="1" fillId="0" borderId="14" xfId="58" applyFont="1" applyBorder="1" applyAlignment="1">
      <alignment horizontal="center"/>
      <protection/>
    </xf>
    <xf numFmtId="2" fontId="1" fillId="0" borderId="14" xfId="58" applyNumberFormat="1" applyFont="1" applyBorder="1" applyAlignment="1">
      <alignment horizontal="center"/>
      <protection/>
    </xf>
    <xf numFmtId="0" fontId="93" fillId="0" borderId="18" xfId="58" applyBorder="1" applyAlignment="1">
      <alignment horizontal="center" vertical="center"/>
      <protection/>
    </xf>
    <xf numFmtId="0" fontId="93" fillId="0" borderId="19" xfId="58" applyBorder="1" applyAlignment="1">
      <alignment vertical="center"/>
      <protection/>
    </xf>
    <xf numFmtId="0" fontId="26" fillId="0" borderId="14" xfId="58" applyFont="1" applyBorder="1" applyAlignment="1">
      <alignment horizontal="center" vertical="center"/>
      <protection/>
    </xf>
    <xf numFmtId="1" fontId="26" fillId="0" borderId="14" xfId="58" applyNumberFormat="1" applyFont="1" applyBorder="1" applyAlignment="1">
      <alignment horizontal="center" vertical="center"/>
      <protection/>
    </xf>
    <xf numFmtId="0" fontId="23" fillId="0" borderId="16" xfId="58" applyFont="1" applyBorder="1" applyAlignment="1">
      <alignment horizontal="center" vertical="center"/>
      <protection/>
    </xf>
    <xf numFmtId="0" fontId="23" fillId="0" borderId="15" xfId="58" applyFont="1" applyBorder="1" applyAlignment="1">
      <alignment horizontal="center" vertical="center"/>
      <protection/>
    </xf>
    <xf numFmtId="2" fontId="23" fillId="0" borderId="15" xfId="58" applyNumberFormat="1" applyFont="1" applyBorder="1" applyAlignment="1">
      <alignment horizontal="center" vertical="center"/>
      <protection/>
    </xf>
    <xf numFmtId="0" fontId="93" fillId="0" borderId="21" xfId="58" applyBorder="1" applyAlignment="1">
      <alignment vertical="center"/>
      <protection/>
    </xf>
    <xf numFmtId="0" fontId="23" fillId="33" borderId="14" xfId="58" applyFont="1" applyFill="1" applyBorder="1" applyAlignment="1">
      <alignment horizontal="center"/>
      <protection/>
    </xf>
    <xf numFmtId="2" fontId="108" fillId="0" borderId="14" xfId="58" applyNumberFormat="1" applyFont="1" applyBorder="1" applyAlignment="1">
      <alignment horizontal="center" vertical="center"/>
      <protection/>
    </xf>
    <xf numFmtId="0" fontId="19" fillId="0" borderId="14" xfId="58" applyFont="1" applyBorder="1" applyAlignment="1">
      <alignment horizontal="center"/>
      <protection/>
    </xf>
    <xf numFmtId="1" fontId="19" fillId="0" borderId="14" xfId="58" applyNumberFormat="1" applyFont="1" applyBorder="1" applyAlignment="1">
      <alignment horizontal="center"/>
      <protection/>
    </xf>
    <xf numFmtId="1" fontId="19" fillId="34" borderId="14" xfId="58" applyNumberFormat="1" applyFont="1" applyFill="1" applyBorder="1" applyAlignment="1">
      <alignment horizontal="center"/>
      <protection/>
    </xf>
    <xf numFmtId="0" fontId="93" fillId="0" borderId="15" xfId="58" applyBorder="1" applyAlignment="1">
      <alignment horizontal="center"/>
      <protection/>
    </xf>
    <xf numFmtId="0" fontId="1" fillId="33" borderId="14" xfId="58" applyFont="1" applyFill="1" applyBorder="1" applyAlignment="1">
      <alignment horizontal="center"/>
      <protection/>
    </xf>
    <xf numFmtId="0" fontId="93" fillId="0" borderId="18" xfId="58" applyBorder="1" applyAlignment="1">
      <alignment horizontal="center"/>
      <protection/>
    </xf>
    <xf numFmtId="0" fontId="22" fillId="0" borderId="16" xfId="58" applyFont="1" applyBorder="1" applyAlignment="1">
      <alignment horizontal="center" vertical="center"/>
      <protection/>
    </xf>
    <xf numFmtId="0" fontId="24" fillId="0" borderId="16" xfId="58" applyFont="1" applyBorder="1" applyAlignment="1">
      <alignment horizontal="center" vertical="center"/>
      <protection/>
    </xf>
    <xf numFmtId="0" fontId="19" fillId="0" borderId="16" xfId="58" applyFont="1" applyBorder="1" applyAlignment="1">
      <alignment horizontal="center"/>
      <protection/>
    </xf>
    <xf numFmtId="1" fontId="26" fillId="0" borderId="14" xfId="58" applyNumberFormat="1" applyFont="1" applyBorder="1" applyAlignment="1">
      <alignment horizontal="center"/>
      <protection/>
    </xf>
    <xf numFmtId="0" fontId="23" fillId="0" borderId="16" xfId="58" applyFont="1" applyBorder="1" applyAlignment="1">
      <alignment horizontal="center"/>
      <protection/>
    </xf>
    <xf numFmtId="0" fontId="23" fillId="0" borderId="18" xfId="58" applyFont="1" applyBorder="1" applyAlignment="1">
      <alignment horizontal="center"/>
      <protection/>
    </xf>
    <xf numFmtId="0" fontId="23" fillId="0" borderId="21" xfId="58" applyFont="1" applyBorder="1" applyAlignment="1">
      <alignment horizontal="center"/>
      <protection/>
    </xf>
    <xf numFmtId="2" fontId="108" fillId="0" borderId="14" xfId="58" applyNumberFormat="1" applyFont="1" applyBorder="1" applyAlignment="1">
      <alignment horizontal="center"/>
      <protection/>
    </xf>
    <xf numFmtId="0" fontId="19" fillId="0" borderId="14" xfId="58" applyFont="1" applyFill="1" applyBorder="1" applyAlignment="1">
      <alignment horizontal="center"/>
      <protection/>
    </xf>
    <xf numFmtId="0" fontId="1" fillId="0" borderId="18" xfId="58" applyFont="1" applyBorder="1" applyAlignment="1">
      <alignment horizontal="center"/>
      <protection/>
    </xf>
    <xf numFmtId="0" fontId="19" fillId="0" borderId="16" xfId="58" applyFont="1" applyFill="1" applyBorder="1" applyAlignment="1">
      <alignment horizontal="center"/>
      <protection/>
    </xf>
    <xf numFmtId="0" fontId="23" fillId="0" borderId="19" xfId="58" applyFont="1" applyBorder="1" applyAlignment="1">
      <alignment horizontal="center"/>
      <protection/>
    </xf>
    <xf numFmtId="2" fontId="19" fillId="0" borderId="14" xfId="58" applyNumberFormat="1" applyFont="1" applyBorder="1" applyAlignment="1">
      <alignment horizontal="center"/>
      <protection/>
    </xf>
    <xf numFmtId="2" fontId="1" fillId="0" borderId="15" xfId="58" applyNumberFormat="1" applyFont="1" applyBorder="1" applyAlignment="1">
      <alignment horizontal="center"/>
      <protection/>
    </xf>
    <xf numFmtId="168" fontId="19" fillId="0" borderId="14" xfId="58" applyNumberFormat="1" applyFont="1" applyBorder="1" applyAlignment="1">
      <alignment horizontal="center"/>
      <protection/>
    </xf>
    <xf numFmtId="16" fontId="24" fillId="0" borderId="16" xfId="58" applyNumberFormat="1" applyFont="1" applyBorder="1" applyAlignment="1">
      <alignment horizontal="center" vertical="center"/>
      <protection/>
    </xf>
    <xf numFmtId="166" fontId="26" fillId="0" borderId="14" xfId="58" applyNumberFormat="1" applyFont="1" applyBorder="1" applyAlignment="1">
      <alignment horizontal="center"/>
      <protection/>
    </xf>
    <xf numFmtId="2" fontId="23" fillId="0" borderId="18" xfId="58" applyNumberFormat="1" applyFont="1" applyBorder="1" applyAlignment="1">
      <alignment horizontal="center"/>
      <protection/>
    </xf>
    <xf numFmtId="2" fontId="23" fillId="0" borderId="15" xfId="58" applyNumberFormat="1" applyFont="1" applyBorder="1" applyAlignment="1">
      <alignment horizontal="center"/>
      <protection/>
    </xf>
    <xf numFmtId="0" fontId="23" fillId="0" borderId="20" xfId="58" applyFont="1" applyBorder="1" applyAlignment="1">
      <alignment horizontal="center"/>
      <protection/>
    </xf>
    <xf numFmtId="0" fontId="108" fillId="0" borderId="14" xfId="58" applyFont="1" applyBorder="1" applyAlignment="1">
      <alignment horizontal="center" vertical="center"/>
      <protection/>
    </xf>
    <xf numFmtId="0" fontId="108" fillId="0" borderId="14" xfId="58" applyFont="1" applyBorder="1" applyAlignment="1">
      <alignment horizontal="center"/>
      <protection/>
    </xf>
    <xf numFmtId="2" fontId="23" fillId="0" borderId="14" xfId="58" applyNumberFormat="1" applyFont="1" applyBorder="1" applyAlignment="1">
      <alignment horizontal="center"/>
      <protection/>
    </xf>
    <xf numFmtId="0" fontId="26" fillId="34" borderId="14" xfId="58" applyFont="1" applyFill="1" applyBorder="1" applyAlignment="1">
      <alignment horizontal="center"/>
      <protection/>
    </xf>
    <xf numFmtId="0" fontId="19" fillId="34" borderId="14" xfId="58" applyFont="1" applyFill="1" applyBorder="1" applyAlignment="1">
      <alignment horizontal="center"/>
      <protection/>
    </xf>
    <xf numFmtId="166" fontId="26" fillId="34" borderId="14" xfId="58" applyNumberFormat="1" applyFont="1" applyFill="1" applyBorder="1" applyAlignment="1">
      <alignment horizontal="center"/>
      <protection/>
    </xf>
    <xf numFmtId="1" fontId="26" fillId="34" borderId="14" xfId="58" applyNumberFormat="1" applyFont="1" applyFill="1" applyBorder="1" applyAlignment="1">
      <alignment horizontal="center"/>
      <protection/>
    </xf>
    <xf numFmtId="166" fontId="23" fillId="0" borderId="16" xfId="58" applyNumberFormat="1" applyFont="1" applyBorder="1" applyAlignment="1">
      <alignment horizontal="center"/>
      <protection/>
    </xf>
    <xf numFmtId="0" fontId="108" fillId="0" borderId="18" xfId="58" applyFont="1" applyBorder="1" applyAlignment="1">
      <alignment horizontal="center"/>
      <protection/>
    </xf>
    <xf numFmtId="0" fontId="23" fillId="0" borderId="17" xfId="58" applyFont="1" applyBorder="1" applyAlignment="1">
      <alignment horizontal="center"/>
      <protection/>
    </xf>
    <xf numFmtId="0" fontId="22" fillId="0" borderId="18" xfId="58" applyFont="1" applyBorder="1" applyAlignment="1">
      <alignment horizontal="center" vertical="center"/>
      <protection/>
    </xf>
    <xf numFmtId="16" fontId="24" fillId="0" borderId="18" xfId="58" applyNumberFormat="1" applyFont="1" applyBorder="1" applyAlignment="1">
      <alignment horizontal="center" vertical="center"/>
      <protection/>
    </xf>
    <xf numFmtId="0" fontId="26" fillId="0" borderId="14" xfId="58" applyFont="1" applyBorder="1" applyAlignment="1">
      <alignment horizontal="center"/>
      <protection/>
    </xf>
    <xf numFmtId="0" fontId="93" fillId="33" borderId="14" xfId="58" applyFill="1" applyBorder="1" applyAlignment="1">
      <alignment horizontal="center"/>
      <protection/>
    </xf>
    <xf numFmtId="16" fontId="24" fillId="0" borderId="14" xfId="58" applyNumberFormat="1" applyFont="1" applyBorder="1" applyAlignment="1">
      <alignment horizontal="center" vertical="center"/>
      <protection/>
    </xf>
    <xf numFmtId="0" fontId="19" fillId="0" borderId="15" xfId="58" applyFont="1" applyBorder="1" applyAlignment="1">
      <alignment horizontal="center"/>
      <protection/>
    </xf>
    <xf numFmtId="0" fontId="26" fillId="0" borderId="15" xfId="58" applyFont="1" applyBorder="1" applyAlignment="1">
      <alignment horizontal="center"/>
      <protection/>
    </xf>
    <xf numFmtId="0" fontId="19" fillId="0" borderId="15" xfId="58" applyFont="1" applyBorder="1" applyAlignment="1">
      <alignment horizontal="center" vertical="center"/>
      <protection/>
    </xf>
    <xf numFmtId="0" fontId="26" fillId="0" borderId="15" xfId="58" applyFont="1" applyBorder="1" applyAlignment="1">
      <alignment horizontal="center" vertical="center"/>
      <protection/>
    </xf>
    <xf numFmtId="0" fontId="23" fillId="0" borderId="17" xfId="58" applyFont="1" applyBorder="1" applyAlignment="1">
      <alignment horizontal="center" vertical="center"/>
      <protection/>
    </xf>
    <xf numFmtId="2" fontId="23" fillId="0" borderId="14" xfId="58" applyNumberFormat="1" applyFont="1" applyBorder="1" applyAlignment="1">
      <alignment horizontal="center" vertical="center"/>
      <protection/>
    </xf>
    <xf numFmtId="168" fontId="19" fillId="0" borderId="14" xfId="58" applyNumberFormat="1" applyFont="1" applyBorder="1" applyAlignment="1">
      <alignment vertical="center"/>
      <protection/>
    </xf>
    <xf numFmtId="0" fontId="93" fillId="0" borderId="16" xfId="58" applyBorder="1" applyAlignment="1">
      <alignment horizontal="center" vertical="center"/>
      <protection/>
    </xf>
    <xf numFmtId="0" fontId="24" fillId="33" borderId="16" xfId="58" applyFont="1" applyFill="1" applyBorder="1" applyAlignment="1">
      <alignment horizontal="center" vertical="center"/>
      <protection/>
    </xf>
    <xf numFmtId="0" fontId="93" fillId="0" borderId="0" xfId="58" applyBorder="1" applyAlignment="1">
      <alignment horizontal="center" vertical="center"/>
      <protection/>
    </xf>
    <xf numFmtId="16" fontId="25" fillId="0" borderId="15" xfId="58" applyNumberFormat="1" applyFont="1" applyBorder="1" applyAlignment="1">
      <alignment vertical="center"/>
      <protection/>
    </xf>
    <xf numFmtId="0" fontId="19" fillId="0" borderId="15" xfId="58" applyFont="1" applyBorder="1" applyAlignment="1">
      <alignment vertical="center"/>
      <protection/>
    </xf>
    <xf numFmtId="1" fontId="19" fillId="0" borderId="15" xfId="58" applyNumberFormat="1" applyFont="1" applyBorder="1" applyAlignment="1">
      <alignment horizontal="center" vertical="center"/>
      <protection/>
    </xf>
    <xf numFmtId="0" fontId="22" fillId="0" borderId="0" xfId="58" applyFont="1" applyBorder="1" applyAlignment="1">
      <alignment vertical="center"/>
      <protection/>
    </xf>
    <xf numFmtId="16" fontId="24" fillId="0" borderId="0" xfId="58" applyNumberFormat="1" applyFont="1" applyBorder="1" applyAlignment="1">
      <alignment vertical="center"/>
      <protection/>
    </xf>
    <xf numFmtId="16" fontId="25" fillId="0" borderId="0" xfId="58" applyNumberFormat="1" applyFont="1" applyBorder="1" applyAlignment="1">
      <alignment vertical="center"/>
      <protection/>
    </xf>
    <xf numFmtId="0" fontId="19" fillId="0" borderId="0" xfId="58" applyFont="1" applyBorder="1" applyAlignment="1">
      <alignment vertical="center"/>
      <protection/>
    </xf>
    <xf numFmtId="168" fontId="19" fillId="0" borderId="0" xfId="58" applyNumberFormat="1" applyFont="1" applyBorder="1" applyAlignment="1">
      <alignment vertical="center"/>
      <protection/>
    </xf>
    <xf numFmtId="1" fontId="19" fillId="0" borderId="0" xfId="58" applyNumberFormat="1" applyFont="1" applyBorder="1" applyAlignment="1">
      <alignment vertical="center"/>
      <protection/>
    </xf>
    <xf numFmtId="0" fontId="93" fillId="0" borderId="0" xfId="58" applyBorder="1" applyAlignment="1">
      <alignment vertical="center"/>
      <protection/>
    </xf>
    <xf numFmtId="0" fontId="93" fillId="0" borderId="0" xfId="58" applyAlignment="1">
      <alignment horizontal="center"/>
      <protection/>
    </xf>
    <xf numFmtId="0" fontId="93" fillId="0" borderId="0" xfId="58" applyAlignment="1">
      <alignment horizontal="center" vertical="center"/>
      <protection/>
    </xf>
    <xf numFmtId="2" fontId="93" fillId="0" borderId="0" xfId="58" applyNumberFormat="1" applyAlignment="1">
      <alignment horizontal="center" vertical="center"/>
      <protection/>
    </xf>
    <xf numFmtId="1" fontId="23" fillId="0" borderId="0" xfId="58" applyNumberFormat="1" applyFont="1" applyAlignment="1">
      <alignment horizontal="center" vertical="center"/>
      <protection/>
    </xf>
    <xf numFmtId="2" fontId="93" fillId="0" borderId="0" xfId="58" applyNumberFormat="1" applyAlignment="1">
      <alignment horizontal="center"/>
      <protection/>
    </xf>
    <xf numFmtId="2" fontId="93" fillId="0" borderId="0" xfId="58" applyNumberFormat="1" applyFill="1" applyBorder="1" applyAlignment="1">
      <alignment horizontal="center" vertical="center"/>
      <protection/>
    </xf>
    <xf numFmtId="2" fontId="23" fillId="0" borderId="0" xfId="58" applyNumberFormat="1" applyFont="1" applyAlignment="1">
      <alignment horizontal="center"/>
      <protection/>
    </xf>
    <xf numFmtId="0" fontId="93" fillId="0" borderId="0" xfId="58" applyFont="1">
      <alignment/>
      <protection/>
    </xf>
    <xf numFmtId="2" fontId="93" fillId="0" borderId="0" xfId="58" applyNumberFormat="1">
      <alignment/>
      <protection/>
    </xf>
    <xf numFmtId="0" fontId="93" fillId="0" borderId="0" xfId="58" applyAlignment="1">
      <alignment horizontal="center" vertical="center" wrapText="1"/>
      <protection/>
    </xf>
    <xf numFmtId="0" fontId="93" fillId="0" borderId="0" xfId="58" applyAlignment="1">
      <alignment wrapText="1"/>
      <protection/>
    </xf>
    <xf numFmtId="0" fontId="22" fillId="0" borderId="0" xfId="58" applyFont="1" applyFill="1" applyBorder="1" applyAlignment="1">
      <alignment horizontal="center" vertical="center" wrapText="1"/>
      <protection/>
    </xf>
    <xf numFmtId="0" fontId="22" fillId="0" borderId="0" xfId="58" applyFont="1" applyBorder="1" applyAlignment="1">
      <alignment vertical="center" wrapText="1"/>
      <protection/>
    </xf>
    <xf numFmtId="0" fontId="93" fillId="0" borderId="13" xfId="58" applyBorder="1" applyAlignment="1">
      <alignment/>
      <protection/>
    </xf>
    <xf numFmtId="0" fontId="0" fillId="0" borderId="14" xfId="58" applyFont="1" applyBorder="1">
      <alignment/>
      <protection/>
    </xf>
    <xf numFmtId="168" fontId="19" fillId="0" borderId="18" xfId="58" applyNumberFormat="1" applyFont="1" applyBorder="1" applyAlignment="1">
      <alignment vertical="center"/>
      <protection/>
    </xf>
    <xf numFmtId="2" fontId="93" fillId="0" borderId="14" xfId="58" applyNumberFormat="1" applyBorder="1" applyAlignment="1">
      <alignment horizontal="center" vertical="center"/>
      <protection/>
    </xf>
    <xf numFmtId="1" fontId="19" fillId="34" borderId="14" xfId="58" applyNumberFormat="1" applyFont="1" applyFill="1" applyBorder="1" applyAlignment="1">
      <alignment horizontal="center" vertical="center"/>
      <protection/>
    </xf>
    <xf numFmtId="0" fontId="19" fillId="0" borderId="16" xfId="58" applyFont="1" applyBorder="1" applyAlignment="1">
      <alignment vertical="center"/>
      <protection/>
    </xf>
    <xf numFmtId="168" fontId="19" fillId="0" borderId="16" xfId="58" applyNumberFormat="1" applyFont="1" applyBorder="1" applyAlignment="1">
      <alignment vertical="center"/>
      <protection/>
    </xf>
    <xf numFmtId="1" fontId="26" fillId="34" borderId="14" xfId="58" applyNumberFormat="1" applyFont="1" applyFill="1" applyBorder="1" applyAlignment="1">
      <alignment horizontal="center" vertical="center"/>
      <protection/>
    </xf>
    <xf numFmtId="0" fontId="23" fillId="0" borderId="18" xfId="58" applyFont="1" applyBorder="1" applyAlignment="1">
      <alignment horizontal="center" vertical="center"/>
      <protection/>
    </xf>
    <xf numFmtId="0" fontId="23" fillId="0" borderId="21" xfId="58" applyFont="1" applyBorder="1" applyAlignment="1">
      <alignment horizontal="center" vertical="center"/>
      <protection/>
    </xf>
    <xf numFmtId="2" fontId="23" fillId="33" borderId="14" xfId="58" applyNumberFormat="1" applyFont="1" applyFill="1" applyBorder="1" applyAlignment="1">
      <alignment horizontal="center"/>
      <protection/>
    </xf>
    <xf numFmtId="0" fontId="19" fillId="0" borderId="16" xfId="58" applyFont="1" applyFill="1" applyBorder="1" applyAlignment="1">
      <alignment vertical="center"/>
      <protection/>
    </xf>
    <xf numFmtId="0" fontId="19" fillId="34" borderId="14" xfId="58" applyFont="1" applyFill="1" applyBorder="1" applyAlignment="1">
      <alignment horizontal="center" vertical="center"/>
      <protection/>
    </xf>
    <xf numFmtId="0" fontId="26" fillId="34" borderId="14" xfId="58" applyFont="1" applyFill="1" applyBorder="1" applyAlignment="1">
      <alignment horizontal="center" vertical="center"/>
      <protection/>
    </xf>
    <xf numFmtId="0" fontId="23" fillId="0" borderId="19" xfId="58" applyFont="1" applyBorder="1" applyAlignment="1">
      <alignment horizontal="center" vertical="center"/>
      <protection/>
    </xf>
    <xf numFmtId="171" fontId="23" fillId="0" borderId="18" xfId="58" applyNumberFormat="1" applyFont="1" applyBorder="1" applyAlignment="1">
      <alignment horizontal="center" vertical="center"/>
      <protection/>
    </xf>
    <xf numFmtId="0" fontId="23" fillId="0" borderId="20" xfId="58" applyFont="1" applyBorder="1" applyAlignment="1">
      <alignment horizontal="center" vertical="center"/>
      <protection/>
    </xf>
    <xf numFmtId="1" fontId="19" fillId="0" borderId="14" xfId="58" applyNumberFormat="1" applyFont="1" applyBorder="1" applyAlignment="1">
      <alignment vertical="center"/>
      <protection/>
    </xf>
    <xf numFmtId="0" fontId="19" fillId="0" borderId="14" xfId="58" applyFont="1" applyFill="1" applyBorder="1" applyAlignment="1">
      <alignment vertical="center"/>
      <protection/>
    </xf>
    <xf numFmtId="0" fontId="19" fillId="0" borderId="18" xfId="58" applyFont="1" applyBorder="1" applyAlignment="1">
      <alignment vertical="center"/>
      <protection/>
    </xf>
    <xf numFmtId="2" fontId="23" fillId="0" borderId="18" xfId="58" applyNumberFormat="1" applyFont="1" applyBorder="1" applyAlignment="1">
      <alignment horizontal="center" vertical="center"/>
      <protection/>
    </xf>
    <xf numFmtId="168" fontId="23" fillId="0" borderId="14" xfId="58" applyNumberFormat="1" applyFont="1" applyBorder="1" applyAlignment="1">
      <alignment horizontal="center"/>
      <protection/>
    </xf>
    <xf numFmtId="168" fontId="19" fillId="0" borderId="15" xfId="58" applyNumberFormat="1" applyFont="1" applyBorder="1" applyAlignment="1">
      <alignment vertical="center"/>
      <protection/>
    </xf>
    <xf numFmtId="0" fontId="24" fillId="33" borderId="14" xfId="58" applyFont="1" applyFill="1" applyBorder="1" applyAlignment="1">
      <alignment horizontal="center" vertical="center"/>
      <protection/>
    </xf>
    <xf numFmtId="0" fontId="93" fillId="0" borderId="0" xfId="62">
      <alignment/>
      <protection/>
    </xf>
    <xf numFmtId="0" fontId="22" fillId="0" borderId="14" xfId="62" applyFont="1" applyBorder="1" applyAlignment="1">
      <alignment horizontal="center" vertical="center" wrapText="1"/>
      <protection/>
    </xf>
    <xf numFmtId="0" fontId="22" fillId="0" borderId="14" xfId="62" applyFont="1" applyBorder="1" applyAlignment="1">
      <alignment horizontal="center" vertical="center"/>
      <protection/>
    </xf>
    <xf numFmtId="0" fontId="22" fillId="0" borderId="17" xfId="62" applyFont="1" applyBorder="1" applyAlignment="1">
      <alignment horizontal="center" vertical="center"/>
      <protection/>
    </xf>
    <xf numFmtId="0" fontId="22" fillId="0" borderId="14" xfId="62" applyFont="1" applyFill="1" applyBorder="1" applyAlignment="1">
      <alignment horizontal="center" vertical="center" wrapText="1"/>
      <protection/>
    </xf>
    <xf numFmtId="0" fontId="22" fillId="0" borderId="14" xfId="62" applyFont="1" applyBorder="1" applyAlignment="1">
      <alignment wrapText="1"/>
      <protection/>
    </xf>
    <xf numFmtId="0" fontId="27" fillId="0" borderId="14" xfId="62" applyFont="1" applyFill="1" applyBorder="1" applyAlignment="1">
      <alignment horizontal="center" vertical="center" wrapText="1"/>
      <protection/>
    </xf>
    <xf numFmtId="0" fontId="24" fillId="0" borderId="14"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4" xfId="62" applyFont="1" applyFill="1" applyBorder="1" applyAlignment="1">
      <alignment horizontal="center" vertical="center"/>
      <protection/>
    </xf>
    <xf numFmtId="0" fontId="24" fillId="0" borderId="14" xfId="62" applyFont="1" applyFill="1" applyBorder="1" applyAlignment="1">
      <alignment horizontal="center" vertical="center" wrapText="1"/>
      <protection/>
    </xf>
    <xf numFmtId="0" fontId="0" fillId="0" borderId="14" xfId="62" applyFont="1" applyBorder="1" applyAlignment="1">
      <alignment wrapText="1"/>
      <protection/>
    </xf>
    <xf numFmtId="0" fontId="24" fillId="0" borderId="16" xfId="62" applyFont="1" applyFill="1" applyBorder="1" applyAlignment="1">
      <alignment horizontal="center" vertical="center" wrapText="1"/>
      <protection/>
    </xf>
    <xf numFmtId="0" fontId="24" fillId="0" borderId="15" xfId="62" applyFont="1" applyBorder="1" applyAlignment="1">
      <alignment horizontal="center" vertical="center"/>
      <protection/>
    </xf>
    <xf numFmtId="0" fontId="25" fillId="0" borderId="14" xfId="62" applyFont="1" applyBorder="1" applyAlignment="1">
      <alignment horizontal="center" vertical="center"/>
      <protection/>
    </xf>
    <xf numFmtId="0" fontId="115" fillId="0" borderId="14" xfId="62" applyFont="1" applyBorder="1" applyAlignment="1">
      <alignment horizontal="center" vertical="center" wrapText="1"/>
      <protection/>
    </xf>
    <xf numFmtId="0" fontId="93" fillId="0" borderId="17" xfId="62" applyBorder="1" applyAlignment="1">
      <alignment/>
      <protection/>
    </xf>
    <xf numFmtId="0" fontId="93" fillId="0" borderId="12" xfId="62" applyBorder="1" applyAlignment="1">
      <alignment/>
      <protection/>
    </xf>
    <xf numFmtId="0" fontId="93" fillId="0" borderId="14" xfId="62" applyBorder="1">
      <alignment/>
      <protection/>
    </xf>
    <xf numFmtId="0" fontId="93" fillId="0" borderId="17" xfId="62" applyBorder="1">
      <alignment/>
      <protection/>
    </xf>
    <xf numFmtId="0" fontId="93" fillId="0" borderId="14" xfId="62" applyBorder="1" applyAlignment="1">
      <alignment horizontal="center"/>
      <protection/>
    </xf>
    <xf numFmtId="0" fontId="93" fillId="0" borderId="14" xfId="62" applyBorder="1" applyAlignment="1">
      <alignment horizontal="center" vertical="center"/>
      <protection/>
    </xf>
    <xf numFmtId="16" fontId="25" fillId="0" borderId="14" xfId="62" applyNumberFormat="1" applyFont="1" applyBorder="1" applyAlignment="1">
      <alignment vertical="center"/>
      <protection/>
    </xf>
    <xf numFmtId="0" fontId="19" fillId="0" borderId="14" xfId="62" applyFont="1" applyBorder="1" applyAlignment="1">
      <alignment vertical="center"/>
      <protection/>
    </xf>
    <xf numFmtId="0" fontId="19" fillId="0" borderId="14" xfId="62" applyFont="1" applyBorder="1" applyAlignment="1">
      <alignment horizontal="center" vertical="center"/>
      <protection/>
    </xf>
    <xf numFmtId="1" fontId="19" fillId="0" borderId="14" xfId="62" applyNumberFormat="1" applyFont="1" applyBorder="1" applyAlignment="1">
      <alignment horizontal="center" vertical="center"/>
      <protection/>
    </xf>
    <xf numFmtId="0" fontId="93" fillId="0" borderId="15" xfId="62" applyBorder="1" applyAlignment="1">
      <alignment horizontal="center" vertical="center"/>
      <protection/>
    </xf>
    <xf numFmtId="2" fontId="1" fillId="0" borderId="15" xfId="62" applyNumberFormat="1" applyFont="1" applyBorder="1" applyAlignment="1">
      <alignment horizontal="center" vertical="center"/>
      <protection/>
    </xf>
    <xf numFmtId="0" fontId="93" fillId="0" borderId="20" xfId="62" applyBorder="1" applyAlignment="1">
      <alignment/>
      <protection/>
    </xf>
    <xf numFmtId="2" fontId="93" fillId="0" borderId="14" xfId="62" applyNumberFormat="1" applyBorder="1" applyAlignment="1">
      <alignment horizontal="center"/>
      <protection/>
    </xf>
    <xf numFmtId="0" fontId="23" fillId="0" borderId="14" xfId="62" applyFont="1" applyBorder="1" applyAlignment="1">
      <alignment horizontal="center"/>
      <protection/>
    </xf>
    <xf numFmtId="168" fontId="93" fillId="0" borderId="14" xfId="62" applyNumberFormat="1" applyBorder="1" applyAlignment="1">
      <alignment horizontal="center"/>
      <protection/>
    </xf>
    <xf numFmtId="0" fontId="1" fillId="0" borderId="14" xfId="62" applyFont="1" applyBorder="1" applyAlignment="1">
      <alignment horizontal="center"/>
      <protection/>
    </xf>
    <xf numFmtId="2" fontId="1" fillId="0" borderId="14" xfId="62" applyNumberFormat="1" applyFont="1" applyBorder="1" applyAlignment="1">
      <alignment horizontal="center"/>
      <protection/>
    </xf>
    <xf numFmtId="0" fontId="93" fillId="0" borderId="19" xfId="62" applyBorder="1" applyAlignment="1">
      <alignment vertical="center"/>
      <protection/>
    </xf>
    <xf numFmtId="0" fontId="26" fillId="0" borderId="14" xfId="62" applyFont="1" applyBorder="1" applyAlignment="1">
      <alignment horizontal="center" vertical="center"/>
      <protection/>
    </xf>
    <xf numFmtId="1" fontId="26" fillId="0" borderId="14" xfId="62" applyNumberFormat="1" applyFont="1" applyBorder="1" applyAlignment="1">
      <alignment horizontal="center" vertical="center"/>
      <protection/>
    </xf>
    <xf numFmtId="0" fontId="23" fillId="0" borderId="14" xfId="62" applyFont="1" applyBorder="1" applyAlignment="1">
      <alignment horizontal="center" vertical="center"/>
      <protection/>
    </xf>
    <xf numFmtId="2" fontId="23" fillId="0" borderId="15" xfId="62" applyNumberFormat="1" applyFont="1" applyBorder="1" applyAlignment="1">
      <alignment horizontal="center" vertical="center"/>
      <protection/>
    </xf>
    <xf numFmtId="0" fontId="93" fillId="0" borderId="21" xfId="62" applyBorder="1" applyAlignment="1">
      <alignment vertical="center"/>
      <protection/>
    </xf>
    <xf numFmtId="0" fontId="23" fillId="33" borderId="14" xfId="62" applyFont="1" applyFill="1" applyBorder="1" applyAlignment="1">
      <alignment horizontal="center"/>
      <protection/>
    </xf>
    <xf numFmtId="2" fontId="108" fillId="0" borderId="14" xfId="62" applyNumberFormat="1" applyFont="1" applyBorder="1" applyAlignment="1">
      <alignment horizontal="center" vertical="center"/>
      <protection/>
    </xf>
    <xf numFmtId="0" fontId="19" fillId="0" borderId="14" xfId="62" applyFont="1" applyBorder="1" applyAlignment="1">
      <alignment horizontal="center"/>
      <protection/>
    </xf>
    <xf numFmtId="1" fontId="19" fillId="0" borderId="14" xfId="62" applyNumberFormat="1" applyFont="1" applyBorder="1" applyAlignment="1">
      <alignment horizontal="center"/>
      <protection/>
    </xf>
    <xf numFmtId="1" fontId="19" fillId="34" borderId="14" xfId="62" applyNumberFormat="1" applyFont="1" applyFill="1" applyBorder="1" applyAlignment="1">
      <alignment horizontal="center"/>
      <protection/>
    </xf>
    <xf numFmtId="0" fontId="1" fillId="0" borderId="14" xfId="62" applyFont="1" applyBorder="1" applyAlignment="1">
      <alignment horizontal="center" vertical="center"/>
      <protection/>
    </xf>
    <xf numFmtId="0" fontId="1" fillId="33" borderId="14" xfId="62" applyFont="1" applyFill="1" applyBorder="1" applyAlignment="1">
      <alignment horizontal="center"/>
      <protection/>
    </xf>
    <xf numFmtId="0" fontId="22" fillId="0" borderId="16" xfId="62" applyFont="1" applyBorder="1" applyAlignment="1">
      <alignment horizontal="center" vertical="center"/>
      <protection/>
    </xf>
    <xf numFmtId="0" fontId="24" fillId="0" borderId="16" xfId="62" applyFont="1" applyBorder="1" applyAlignment="1">
      <alignment horizontal="center" vertical="center"/>
      <protection/>
    </xf>
    <xf numFmtId="0" fontId="19" fillId="0" borderId="16" xfId="62" applyFont="1" applyBorder="1" applyAlignment="1">
      <alignment horizontal="center"/>
      <protection/>
    </xf>
    <xf numFmtId="1" fontId="26" fillId="34" borderId="14" xfId="62" applyNumberFormat="1" applyFont="1" applyFill="1" applyBorder="1" applyAlignment="1">
      <alignment horizontal="center"/>
      <protection/>
    </xf>
    <xf numFmtId="1" fontId="26" fillId="0" borderId="14" xfId="62" applyNumberFormat="1" applyFont="1" applyBorder="1" applyAlignment="1">
      <alignment horizontal="center"/>
      <protection/>
    </xf>
    <xf numFmtId="0" fontId="108" fillId="0" borderId="15" xfId="62" applyFont="1" applyBorder="1" applyAlignment="1">
      <alignment horizontal="center" vertical="center"/>
      <protection/>
    </xf>
    <xf numFmtId="0" fontId="23" fillId="0" borderId="21" xfId="62" applyFont="1" applyBorder="1" applyAlignment="1">
      <alignment horizontal="center"/>
      <protection/>
    </xf>
    <xf numFmtId="0" fontId="19" fillId="0" borderId="14" xfId="62" applyFont="1" applyFill="1" applyBorder="1" applyAlignment="1">
      <alignment horizontal="center"/>
      <protection/>
    </xf>
    <xf numFmtId="0" fontId="19" fillId="0" borderId="16" xfId="62" applyFont="1" applyFill="1" applyBorder="1" applyAlignment="1">
      <alignment horizontal="center"/>
      <protection/>
    </xf>
    <xf numFmtId="0" fontId="23" fillId="0" borderId="19" xfId="62" applyFont="1" applyBorder="1" applyAlignment="1">
      <alignment horizontal="center"/>
      <protection/>
    </xf>
    <xf numFmtId="2" fontId="19" fillId="0" borderId="14" xfId="62" applyNumberFormat="1" applyFont="1" applyBorder="1" applyAlignment="1">
      <alignment horizontal="center"/>
      <protection/>
    </xf>
    <xf numFmtId="2" fontId="1" fillId="0" borderId="15" xfId="62" applyNumberFormat="1" applyFont="1" applyBorder="1" applyAlignment="1">
      <alignment horizontal="center"/>
      <protection/>
    </xf>
    <xf numFmtId="168" fontId="19" fillId="0" borderId="14" xfId="62" applyNumberFormat="1" applyFont="1" applyBorder="1" applyAlignment="1">
      <alignment horizontal="center"/>
      <protection/>
    </xf>
    <xf numFmtId="16" fontId="24" fillId="0" borderId="16" xfId="62" applyNumberFormat="1" applyFont="1" applyBorder="1" applyAlignment="1">
      <alignment horizontal="center" vertical="center"/>
      <protection/>
    </xf>
    <xf numFmtId="1" fontId="93" fillId="0" borderId="15" xfId="62" applyNumberFormat="1" applyBorder="1" applyAlignment="1">
      <alignment horizontal="center" vertical="center"/>
      <protection/>
    </xf>
    <xf numFmtId="2" fontId="23" fillId="0" borderId="15" xfId="62" applyNumberFormat="1" applyFont="1" applyBorder="1" applyAlignment="1">
      <alignment horizontal="center"/>
      <protection/>
    </xf>
    <xf numFmtId="0" fontId="23" fillId="0" borderId="20" xfId="62" applyFont="1" applyBorder="1" applyAlignment="1">
      <alignment horizontal="center"/>
      <protection/>
    </xf>
    <xf numFmtId="0" fontId="108" fillId="0" borderId="14" xfId="62" applyFont="1" applyBorder="1" applyAlignment="1">
      <alignment horizontal="center" vertical="center"/>
      <protection/>
    </xf>
    <xf numFmtId="0" fontId="108" fillId="0" borderId="14" xfId="62" applyFont="1" applyBorder="1" applyAlignment="1">
      <alignment horizontal="center"/>
      <protection/>
    </xf>
    <xf numFmtId="0" fontId="26" fillId="34" borderId="14" xfId="62" applyFont="1" applyFill="1" applyBorder="1" applyAlignment="1">
      <alignment horizontal="center"/>
      <protection/>
    </xf>
    <xf numFmtId="0" fontId="19" fillId="34" borderId="14" xfId="62" applyFont="1" applyFill="1" applyBorder="1" applyAlignment="1">
      <alignment horizontal="center"/>
      <protection/>
    </xf>
    <xf numFmtId="0" fontId="23" fillId="0" borderId="17" xfId="62" applyFont="1" applyBorder="1" applyAlignment="1">
      <alignment horizontal="center"/>
      <protection/>
    </xf>
    <xf numFmtId="0" fontId="22" fillId="0" borderId="18" xfId="62" applyFont="1" applyBorder="1" applyAlignment="1">
      <alignment horizontal="center" vertical="center"/>
      <protection/>
    </xf>
    <xf numFmtId="16" fontId="24" fillId="0" borderId="18" xfId="62" applyNumberFormat="1" applyFont="1" applyBorder="1" applyAlignment="1">
      <alignment horizontal="center" vertical="center"/>
      <protection/>
    </xf>
    <xf numFmtId="0" fontId="26" fillId="0" borderId="14" xfId="62" applyFont="1" applyBorder="1" applyAlignment="1">
      <alignment horizontal="center"/>
      <protection/>
    </xf>
    <xf numFmtId="0" fontId="93" fillId="0" borderId="15" xfId="62" applyBorder="1" applyAlignment="1">
      <alignment horizontal="center"/>
      <protection/>
    </xf>
    <xf numFmtId="0" fontId="108" fillId="0" borderId="18" xfId="62" applyFont="1" applyBorder="1" applyAlignment="1">
      <alignment horizontal="center"/>
      <protection/>
    </xf>
    <xf numFmtId="16" fontId="24" fillId="0" borderId="14" xfId="62" applyNumberFormat="1" applyFont="1" applyBorder="1" applyAlignment="1">
      <alignment horizontal="center" vertical="center"/>
      <protection/>
    </xf>
    <xf numFmtId="0" fontId="19" fillId="0" borderId="15" xfId="62" applyFont="1" applyBorder="1" applyAlignment="1">
      <alignment horizontal="center"/>
      <protection/>
    </xf>
    <xf numFmtId="0" fontId="19" fillId="0" borderId="15" xfId="62" applyFont="1" applyBorder="1" applyAlignment="1">
      <alignment horizontal="center" vertical="center"/>
      <protection/>
    </xf>
    <xf numFmtId="0" fontId="23" fillId="0" borderId="17" xfId="62" applyFont="1" applyBorder="1" applyAlignment="1">
      <alignment horizontal="center" vertical="center"/>
      <protection/>
    </xf>
    <xf numFmtId="0" fontId="93" fillId="0" borderId="18" xfId="62" applyBorder="1" applyAlignment="1">
      <alignment horizontal="center" vertical="center"/>
      <protection/>
    </xf>
    <xf numFmtId="168" fontId="19" fillId="0" borderId="14" xfId="62" applyNumberFormat="1" applyFont="1" applyBorder="1" applyAlignment="1">
      <alignment vertical="center"/>
      <protection/>
    </xf>
    <xf numFmtId="0" fontId="23" fillId="0" borderId="16" xfId="62" applyFont="1" applyBorder="1" applyAlignment="1">
      <alignment horizontal="center" vertical="center"/>
      <protection/>
    </xf>
    <xf numFmtId="0" fontId="93" fillId="0" borderId="0" xfId="62" applyBorder="1" applyAlignment="1">
      <alignment horizontal="center" vertical="center"/>
      <protection/>
    </xf>
    <xf numFmtId="16" fontId="25" fillId="0" borderId="15" xfId="62" applyNumberFormat="1" applyFont="1" applyBorder="1" applyAlignment="1">
      <alignment vertical="center"/>
      <protection/>
    </xf>
    <xf numFmtId="0" fontId="19" fillId="0" borderId="15" xfId="62" applyFont="1" applyBorder="1" applyAlignment="1">
      <alignment vertical="center"/>
      <protection/>
    </xf>
    <xf numFmtId="1" fontId="19" fillId="0" borderId="15" xfId="62" applyNumberFormat="1" applyFont="1" applyBorder="1" applyAlignment="1">
      <alignment horizontal="center" vertical="center"/>
      <protection/>
    </xf>
    <xf numFmtId="0" fontId="22" fillId="0" borderId="0" xfId="62" applyFont="1" applyBorder="1" applyAlignment="1">
      <alignment vertical="center"/>
      <protection/>
    </xf>
    <xf numFmtId="16" fontId="24" fillId="0" borderId="0" xfId="62" applyNumberFormat="1" applyFont="1" applyBorder="1" applyAlignment="1">
      <alignment vertical="center"/>
      <protection/>
    </xf>
    <xf numFmtId="16" fontId="25" fillId="0" borderId="0" xfId="62" applyNumberFormat="1" applyFont="1" applyBorder="1" applyAlignment="1">
      <alignment vertical="center"/>
      <protection/>
    </xf>
    <xf numFmtId="0" fontId="19" fillId="0" borderId="0" xfId="62" applyFont="1" applyBorder="1" applyAlignment="1">
      <alignment vertical="center"/>
      <protection/>
    </xf>
    <xf numFmtId="168" fontId="19" fillId="0" borderId="0" xfId="62" applyNumberFormat="1" applyFont="1" applyBorder="1" applyAlignment="1">
      <alignment vertical="center"/>
      <protection/>
    </xf>
    <xf numFmtId="1" fontId="19" fillId="0" borderId="0" xfId="62" applyNumberFormat="1" applyFont="1" applyBorder="1" applyAlignment="1">
      <alignment vertical="center"/>
      <protection/>
    </xf>
    <xf numFmtId="0" fontId="93" fillId="0" borderId="0" xfId="62" applyBorder="1" applyAlignment="1">
      <alignment vertical="center"/>
      <protection/>
    </xf>
    <xf numFmtId="0" fontId="93" fillId="0" borderId="0" xfId="62" applyAlignment="1">
      <alignment horizontal="center"/>
      <protection/>
    </xf>
    <xf numFmtId="0" fontId="93" fillId="0" borderId="0" xfId="62" applyAlignment="1">
      <alignment horizontal="center" vertical="center"/>
      <protection/>
    </xf>
    <xf numFmtId="2" fontId="93" fillId="0" borderId="0" xfId="62" applyNumberFormat="1" applyAlignment="1">
      <alignment horizontal="center" vertical="center"/>
      <protection/>
    </xf>
    <xf numFmtId="1" fontId="23" fillId="0" borderId="0" xfId="62" applyNumberFormat="1" applyFont="1" applyAlignment="1">
      <alignment horizontal="center" vertical="center"/>
      <protection/>
    </xf>
    <xf numFmtId="2" fontId="93" fillId="0" borderId="0" xfId="62" applyNumberFormat="1" applyAlignment="1">
      <alignment horizontal="center"/>
      <protection/>
    </xf>
    <xf numFmtId="2" fontId="93" fillId="0" borderId="0" xfId="62" applyNumberFormat="1" applyFill="1" applyBorder="1" applyAlignment="1">
      <alignment horizontal="center" vertical="center"/>
      <protection/>
    </xf>
    <xf numFmtId="0" fontId="93" fillId="0" borderId="0" xfId="62" applyFont="1">
      <alignment/>
      <protection/>
    </xf>
    <xf numFmtId="2" fontId="23" fillId="0" borderId="0" xfId="62" applyNumberFormat="1" applyFont="1" applyAlignment="1">
      <alignment horizontal="center"/>
      <protection/>
    </xf>
    <xf numFmtId="2" fontId="93" fillId="0" borderId="0" xfId="62" applyNumberFormat="1">
      <alignment/>
      <protection/>
    </xf>
    <xf numFmtId="0" fontId="22" fillId="0" borderId="0" xfId="62" applyFont="1" applyFill="1" applyBorder="1" applyAlignment="1">
      <alignment horizontal="center" vertical="center" wrapText="1"/>
      <protection/>
    </xf>
    <xf numFmtId="0" fontId="22" fillId="0" borderId="0" xfId="62" applyFont="1" applyBorder="1" applyAlignment="1">
      <alignment vertical="center" wrapText="1"/>
      <protection/>
    </xf>
    <xf numFmtId="0" fontId="93" fillId="0" borderId="13" xfId="62" applyBorder="1" applyAlignment="1">
      <alignment/>
      <protection/>
    </xf>
    <xf numFmtId="1" fontId="111" fillId="0" borderId="11" xfId="0" applyNumberFormat="1" applyFont="1" applyFill="1" applyBorder="1" applyAlignment="1">
      <alignment horizontal="center" vertical="top" shrinkToFit="1"/>
    </xf>
    <xf numFmtId="0" fontId="2" fillId="0" borderId="11"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righ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center" vertical="top" wrapText="1"/>
    </xf>
    <xf numFmtId="1" fontId="111" fillId="0" borderId="14" xfId="0" applyNumberFormat="1" applyFont="1" applyFill="1" applyBorder="1" applyAlignment="1">
      <alignment horizontal="center" vertical="top" shrinkToFit="1"/>
    </xf>
    <xf numFmtId="0" fontId="110" fillId="0" borderId="14" xfId="0" applyFont="1" applyFill="1" applyBorder="1" applyAlignment="1">
      <alignment horizontal="left" vertical="top"/>
    </xf>
    <xf numFmtId="0" fontId="117" fillId="0" borderId="10"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0" fillId="0" borderId="14" xfId="0" applyFont="1" applyFill="1" applyBorder="1" applyAlignment="1">
      <alignment horizontal="center" vertical="center"/>
    </xf>
    <xf numFmtId="1" fontId="111" fillId="0" borderId="10" xfId="0" applyNumberFormat="1" applyFont="1" applyFill="1" applyBorder="1" applyAlignment="1">
      <alignment horizontal="center" vertical="center" shrinkToFit="1"/>
    </xf>
    <xf numFmtId="1" fontId="111" fillId="0" borderId="11" xfId="0" applyNumberFormat="1" applyFont="1" applyFill="1" applyBorder="1" applyAlignment="1">
      <alignment horizontal="center" vertical="center" shrinkToFit="1"/>
    </xf>
    <xf numFmtId="0" fontId="2" fillId="0" borderId="0" xfId="0" applyFont="1" applyFill="1" applyBorder="1" applyAlignment="1">
      <alignment wrapText="1"/>
    </xf>
    <xf numFmtId="0" fontId="0" fillId="0" borderId="0" xfId="0" applyFill="1" applyBorder="1" applyAlignment="1">
      <alignment vertical="top" wrapText="1"/>
    </xf>
    <xf numFmtId="2" fontId="117" fillId="0" borderId="10" xfId="0" applyNumberFormat="1" applyFont="1" applyFill="1" applyBorder="1" applyAlignment="1">
      <alignment horizontal="center" vertical="center" wrapText="1"/>
    </xf>
    <xf numFmtId="1" fontId="117" fillId="0" borderId="10" xfId="0" applyNumberFormat="1" applyFont="1" applyFill="1" applyBorder="1" applyAlignment="1">
      <alignment horizontal="center" vertical="center" wrapText="1"/>
    </xf>
    <xf numFmtId="1" fontId="117" fillId="0" borderId="11" xfId="0" applyNumberFormat="1" applyFont="1" applyFill="1" applyBorder="1" applyAlignment="1">
      <alignment horizontal="center" vertical="center" wrapText="1"/>
    </xf>
    <xf numFmtId="1" fontId="110" fillId="0" borderId="14" xfId="0" applyNumberFormat="1" applyFont="1" applyFill="1" applyBorder="1" applyAlignment="1">
      <alignment horizontal="center" vertical="center"/>
    </xf>
    <xf numFmtId="0" fontId="111" fillId="0" borderId="14" xfId="0" applyFont="1" applyFill="1" applyBorder="1" applyAlignment="1">
      <alignment horizontal="center" vertical="center"/>
    </xf>
    <xf numFmtId="0" fontId="112" fillId="0" borderId="14" xfId="0" applyFont="1" applyFill="1" applyBorder="1" applyAlignment="1">
      <alignment horizontal="center" vertical="center"/>
    </xf>
    <xf numFmtId="0" fontId="110" fillId="0" borderId="10" xfId="0" applyFont="1" applyFill="1" applyBorder="1" applyAlignment="1">
      <alignment horizontal="left" wrapText="1"/>
    </xf>
    <xf numFmtId="0" fontId="110" fillId="0" borderId="11" xfId="0" applyFont="1" applyFill="1" applyBorder="1" applyAlignment="1">
      <alignment horizontal="left" wrapText="1"/>
    </xf>
    <xf numFmtId="0" fontId="110" fillId="0" borderId="10" xfId="0" applyFont="1" applyFill="1" applyBorder="1" applyAlignment="1">
      <alignment horizontal="center" vertical="center" wrapText="1"/>
    </xf>
    <xf numFmtId="0" fontId="110" fillId="0" borderId="11"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3"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110" fillId="0" borderId="11" xfId="0" applyFont="1" applyFill="1" applyBorder="1" applyAlignment="1">
      <alignment horizontal="center" vertical="center" wrapText="1"/>
    </xf>
    <xf numFmtId="0" fontId="110" fillId="0" borderId="11" xfId="0" applyFont="1" applyFill="1" applyBorder="1" applyAlignment="1">
      <alignment horizontal="left" wrapText="1"/>
    </xf>
    <xf numFmtId="1" fontId="111" fillId="0" borderId="11" xfId="0" applyNumberFormat="1" applyFont="1" applyFill="1" applyBorder="1" applyAlignment="1">
      <alignment horizontal="center" vertical="top" shrinkToFit="1"/>
    </xf>
    <xf numFmtId="0" fontId="110" fillId="0" borderId="11" xfId="0" applyFont="1" applyFill="1" applyBorder="1" applyAlignment="1">
      <alignment horizontal="center" vertical="center" wrapText="1"/>
    </xf>
    <xf numFmtId="0" fontId="111" fillId="0" borderId="10" xfId="0" applyFont="1" applyFill="1" applyBorder="1" applyAlignment="1">
      <alignment horizontal="center" vertical="center" wrapText="1"/>
    </xf>
    <xf numFmtId="10" fontId="111" fillId="0" borderId="10" xfId="0" applyNumberFormat="1" applyFont="1" applyFill="1" applyBorder="1" applyAlignment="1">
      <alignment horizontal="center" vertical="center" wrapText="1"/>
    </xf>
    <xf numFmtId="0" fontId="111" fillId="0" borderId="10" xfId="0" applyFont="1" applyFill="1" applyBorder="1" applyAlignment="1">
      <alignment horizontal="left"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93" fillId="0" borderId="0" xfId="62" applyAlignment="1">
      <alignment horizontal="center"/>
      <protection/>
    </xf>
    <xf numFmtId="0" fontId="0" fillId="0" borderId="0" xfId="0" applyFill="1" applyBorder="1" applyAlignment="1">
      <alignment horizontal="center" vertical="top" wrapText="1"/>
    </xf>
    <xf numFmtId="0" fontId="21" fillId="0" borderId="0" xfId="57" applyAlignment="1">
      <alignment vertical="top" wrapText="1"/>
      <protection/>
    </xf>
    <xf numFmtId="0" fontId="21" fillId="0" borderId="0" xfId="63" applyAlignment="1">
      <alignment horizontal="left" vertical="top" wrapText="1"/>
      <protection/>
    </xf>
    <xf numFmtId="0" fontId="48" fillId="0" borderId="0" xfId="57" applyFont="1">
      <alignment/>
      <protection/>
    </xf>
    <xf numFmtId="0" fontId="40" fillId="0" borderId="0" xfId="57" applyFont="1">
      <alignment/>
      <protection/>
    </xf>
    <xf numFmtId="0" fontId="29" fillId="0" borderId="17" xfId="57" applyFont="1" applyBorder="1" applyAlignment="1">
      <alignment/>
      <protection/>
    </xf>
    <xf numFmtId="0" fontId="29" fillId="0" borderId="13" xfId="57" applyFont="1" applyBorder="1" applyAlignment="1">
      <alignment/>
      <protection/>
    </xf>
    <xf numFmtId="0" fontId="29" fillId="0" borderId="12" xfId="57" applyFont="1" applyBorder="1" applyAlignment="1">
      <alignment/>
      <protection/>
    </xf>
    <xf numFmtId="0" fontId="29" fillId="0" borderId="14" xfId="57" applyFont="1" applyBorder="1" applyAlignment="1">
      <alignment horizontal="left" vertical="center"/>
      <protection/>
    </xf>
    <xf numFmtId="0" fontId="29" fillId="0" borderId="14" xfId="57" applyFont="1" applyBorder="1" applyAlignment="1">
      <alignment horizontal="left" vertical="center" wrapText="1"/>
      <protection/>
    </xf>
    <xf numFmtId="0" fontId="29" fillId="0" borderId="0" xfId="57" applyFont="1" applyAlignment="1">
      <alignment horizontal="left" vertical="top" wrapText="1"/>
      <protection/>
    </xf>
    <xf numFmtId="0" fontId="29" fillId="0" borderId="14" xfId="57" applyFont="1" applyBorder="1" applyAlignment="1">
      <alignment horizontal="left" vertical="top" wrapText="1"/>
      <protection/>
    </xf>
    <xf numFmtId="0" fontId="21" fillId="33" borderId="0" xfId="57" applyFont="1" applyFill="1">
      <alignment/>
      <protection/>
    </xf>
    <xf numFmtId="0" fontId="21" fillId="0" borderId="0" xfId="57" applyFont="1" applyFill="1">
      <alignment/>
      <protection/>
    </xf>
    <xf numFmtId="0" fontId="21" fillId="0" borderId="0" xfId="57" applyFont="1" applyAlignment="1">
      <alignment horizontal="right"/>
      <protection/>
    </xf>
    <xf numFmtId="1" fontId="118" fillId="0" borderId="14" xfId="0" applyNumberFormat="1" applyFont="1" applyBorder="1" applyAlignment="1">
      <alignment/>
    </xf>
    <xf numFmtId="0" fontId="118" fillId="0" borderId="14" xfId="0" applyFont="1" applyBorder="1" applyAlignment="1">
      <alignment/>
    </xf>
    <xf numFmtId="0" fontId="34" fillId="0" borderId="0" xfId="57" applyFont="1" applyFill="1">
      <alignment/>
      <protection/>
    </xf>
    <xf numFmtId="2" fontId="119" fillId="0" borderId="14" xfId="57" applyNumberFormat="1" applyFont="1" applyBorder="1" applyAlignment="1">
      <alignment horizontal="center" vertical="center"/>
      <protection/>
    </xf>
    <xf numFmtId="2" fontId="21" fillId="0" borderId="14" xfId="57" applyNumberFormat="1" applyFont="1" applyFill="1" applyBorder="1">
      <alignment/>
      <protection/>
    </xf>
    <xf numFmtId="0" fontId="119" fillId="36" borderId="14" xfId="57" applyFont="1" applyFill="1" applyBorder="1">
      <alignment/>
      <protection/>
    </xf>
    <xf numFmtId="0" fontId="119" fillId="36" borderId="0" xfId="57" applyFont="1" applyFill="1">
      <alignment/>
      <protection/>
    </xf>
    <xf numFmtId="166" fontId="119" fillId="36" borderId="17" xfId="57" applyNumberFormat="1" applyFont="1" applyFill="1" applyBorder="1">
      <alignment/>
      <protection/>
    </xf>
    <xf numFmtId="0" fontId="119" fillId="36" borderId="14" xfId="57" applyFont="1" applyFill="1" applyBorder="1" applyAlignment="1">
      <alignment horizontal="center"/>
      <protection/>
    </xf>
    <xf numFmtId="0" fontId="119" fillId="36" borderId="25" xfId="57" applyFont="1" applyFill="1" applyBorder="1" applyAlignment="1">
      <alignment horizontal="center" vertical="center"/>
      <protection/>
    </xf>
    <xf numFmtId="0" fontId="119" fillId="36" borderId="17" xfId="57" applyFont="1" applyFill="1" applyBorder="1">
      <alignment/>
      <protection/>
    </xf>
    <xf numFmtId="0" fontId="119" fillId="36" borderId="12" xfId="57" applyFont="1" applyFill="1" applyBorder="1" applyAlignment="1">
      <alignment horizontal="center" vertical="center"/>
      <protection/>
    </xf>
    <xf numFmtId="0" fontId="120" fillId="36" borderId="17" xfId="57" applyFont="1" applyFill="1" applyBorder="1" applyAlignment="1">
      <alignment horizontal="right"/>
      <protection/>
    </xf>
    <xf numFmtId="0" fontId="119" fillId="36" borderId="14" xfId="57" applyFont="1" applyFill="1" applyBorder="1" applyAlignment="1">
      <alignment horizontal="center" vertical="center"/>
      <protection/>
    </xf>
    <xf numFmtId="0" fontId="119" fillId="36" borderId="17" xfId="57" applyFont="1" applyFill="1" applyBorder="1" applyAlignment="1">
      <alignment horizontal="center" vertical="center"/>
      <protection/>
    </xf>
    <xf numFmtId="168" fontId="119" fillId="36" borderId="14" xfId="57" applyNumberFormat="1" applyFont="1" applyFill="1" applyBorder="1">
      <alignment/>
      <protection/>
    </xf>
    <xf numFmtId="168" fontId="119" fillId="36" borderId="14" xfId="57" applyNumberFormat="1" applyFont="1" applyFill="1" applyBorder="1" applyAlignment="1">
      <alignment horizontal="center" vertical="center"/>
      <protection/>
    </xf>
    <xf numFmtId="0" fontId="119" fillId="36" borderId="14" xfId="57" applyFont="1" applyFill="1" applyBorder="1" applyAlignment="1">
      <alignment horizontal="left" vertical="top" wrapText="1"/>
      <protection/>
    </xf>
    <xf numFmtId="2" fontId="119" fillId="36" borderId="17" xfId="57" applyNumberFormat="1" applyFont="1" applyFill="1" applyBorder="1">
      <alignment/>
      <protection/>
    </xf>
    <xf numFmtId="2" fontId="119" fillId="36" borderId="17" xfId="57" applyNumberFormat="1" applyFont="1" applyFill="1" applyBorder="1" applyAlignment="1">
      <alignment horizontal="center" vertical="center"/>
      <protection/>
    </xf>
    <xf numFmtId="168" fontId="119" fillId="36" borderId="17" xfId="57" applyNumberFormat="1" applyFont="1" applyFill="1" applyBorder="1">
      <alignment/>
      <protection/>
    </xf>
    <xf numFmtId="168" fontId="119" fillId="36" borderId="17" xfId="57" applyNumberFormat="1" applyFont="1" applyFill="1" applyBorder="1" applyAlignment="1">
      <alignment horizontal="center" vertical="center"/>
      <protection/>
    </xf>
    <xf numFmtId="2" fontId="119" fillId="36" borderId="14" xfId="57" applyNumberFormat="1" applyFont="1" applyFill="1" applyBorder="1">
      <alignment/>
      <protection/>
    </xf>
    <xf numFmtId="2" fontId="121" fillId="36" borderId="14" xfId="57" applyNumberFormat="1" applyFont="1" applyFill="1" applyBorder="1" applyAlignment="1">
      <alignment horizontal="center" vertical="center"/>
      <protection/>
    </xf>
    <xf numFmtId="2" fontId="121" fillId="36" borderId="15" xfId="57" applyNumberFormat="1" applyFont="1" applyFill="1" applyBorder="1" applyAlignment="1">
      <alignment horizontal="center" vertical="center"/>
      <protection/>
    </xf>
    <xf numFmtId="2" fontId="119" fillId="36" borderId="15" xfId="57" applyNumberFormat="1" applyFont="1" applyFill="1" applyBorder="1" applyAlignment="1">
      <alignment horizontal="center" vertical="center"/>
      <protection/>
    </xf>
    <xf numFmtId="2" fontId="121" fillId="36" borderId="17" xfId="57" applyNumberFormat="1" applyFont="1" applyFill="1" applyBorder="1" applyAlignment="1">
      <alignment horizontal="center" vertical="center"/>
      <protection/>
    </xf>
    <xf numFmtId="2" fontId="119" fillId="36" borderId="19" xfId="57" applyNumberFormat="1" applyFont="1" applyFill="1" applyBorder="1" applyAlignment="1">
      <alignment horizontal="center" vertical="center"/>
      <protection/>
    </xf>
    <xf numFmtId="2" fontId="119" fillId="36" borderId="14" xfId="57" applyNumberFormat="1" applyFont="1" applyFill="1" applyBorder="1" applyAlignment="1">
      <alignment horizontal="center" vertical="center"/>
      <protection/>
    </xf>
    <xf numFmtId="1" fontId="119" fillId="36" borderId="17" xfId="57" applyNumberFormat="1" applyFont="1" applyFill="1" applyBorder="1">
      <alignment/>
      <protection/>
    </xf>
    <xf numFmtId="1" fontId="119" fillId="36" borderId="17" xfId="57" applyNumberFormat="1" applyFont="1" applyFill="1" applyBorder="1" applyAlignment="1">
      <alignment horizontal="center" vertical="center"/>
      <protection/>
    </xf>
    <xf numFmtId="10" fontId="119" fillId="36" borderId="14" xfId="57" applyNumberFormat="1" applyFont="1" applyFill="1" applyBorder="1">
      <alignment/>
      <protection/>
    </xf>
    <xf numFmtId="10" fontId="119" fillId="36" borderId="14" xfId="57" applyNumberFormat="1" applyFont="1" applyFill="1" applyBorder="1" applyAlignment="1">
      <alignment horizontal="center" vertical="center"/>
      <protection/>
    </xf>
    <xf numFmtId="0" fontId="122" fillId="36" borderId="14" xfId="57" applyFont="1" applyFill="1" applyBorder="1">
      <alignment/>
      <protection/>
    </xf>
    <xf numFmtId="0" fontId="120" fillId="36" borderId="17" xfId="57" applyFont="1" applyFill="1" applyBorder="1">
      <alignment/>
      <protection/>
    </xf>
    <xf numFmtId="0" fontId="120" fillId="36" borderId="17" xfId="57" applyFont="1" applyFill="1" applyBorder="1" applyAlignment="1">
      <alignment horizontal="center" vertical="center"/>
      <protection/>
    </xf>
    <xf numFmtId="2" fontId="120" fillId="36" borderId="17" xfId="57" applyNumberFormat="1" applyFont="1" applyFill="1" applyBorder="1" applyAlignment="1">
      <alignment horizontal="center" vertical="center"/>
      <protection/>
    </xf>
    <xf numFmtId="0" fontId="122" fillId="36" borderId="23" xfId="57" applyFont="1" applyFill="1" applyBorder="1">
      <alignment/>
      <protection/>
    </xf>
    <xf numFmtId="0" fontId="119" fillId="36" borderId="23" xfId="57" applyFont="1" applyFill="1" applyBorder="1">
      <alignment/>
      <protection/>
    </xf>
    <xf numFmtId="0" fontId="120" fillId="36" borderId="23" xfId="57" applyFont="1" applyFill="1" applyBorder="1">
      <alignment/>
      <protection/>
    </xf>
    <xf numFmtId="0" fontId="120" fillId="36" borderId="14" xfId="57" applyFont="1" applyFill="1" applyBorder="1">
      <alignment/>
      <protection/>
    </xf>
    <xf numFmtId="0" fontId="120" fillId="36" borderId="14" xfId="57" applyFont="1" applyFill="1" applyBorder="1" applyAlignment="1">
      <alignment horizontal="center" vertical="center"/>
      <protection/>
    </xf>
    <xf numFmtId="0" fontId="120" fillId="36" borderId="0" xfId="57" applyFont="1" applyFill="1">
      <alignment/>
      <protection/>
    </xf>
    <xf numFmtId="2" fontId="120" fillId="36" borderId="17" xfId="57" applyNumberFormat="1" applyFont="1" applyFill="1" applyBorder="1">
      <alignment/>
      <protection/>
    </xf>
    <xf numFmtId="0" fontId="119" fillId="36" borderId="0" xfId="57" applyFont="1" applyFill="1" applyAlignment="1">
      <alignment horizontal="center" vertical="center"/>
      <protection/>
    </xf>
    <xf numFmtId="0" fontId="119" fillId="36" borderId="24" xfId="57" applyFont="1" applyFill="1" applyBorder="1" applyAlignment="1">
      <alignment horizontal="left" vertical="top" wrapText="1"/>
      <protection/>
    </xf>
    <xf numFmtId="0" fontId="119" fillId="36" borderId="17" xfId="57" applyFont="1" applyFill="1" applyBorder="1" applyAlignment="1">
      <alignment horizontal="right"/>
      <protection/>
    </xf>
    <xf numFmtId="0" fontId="119" fillId="36" borderId="23" xfId="57" applyFont="1" applyFill="1" applyBorder="1" applyAlignment="1">
      <alignment horizontal="left" vertical="top" wrapText="1"/>
      <protection/>
    </xf>
    <xf numFmtId="10" fontId="119" fillId="36" borderId="17" xfId="57" applyNumberFormat="1" applyFont="1" applyFill="1" applyBorder="1">
      <alignment/>
      <protection/>
    </xf>
    <xf numFmtId="0" fontId="32" fillId="36" borderId="0" xfId="57" applyFont="1" applyFill="1" applyBorder="1">
      <alignment/>
      <protection/>
    </xf>
    <xf numFmtId="164" fontId="21" fillId="0" borderId="14" xfId="44" applyFont="1" applyBorder="1" applyAlignment="1">
      <alignment/>
    </xf>
    <xf numFmtId="169" fontId="21" fillId="0" borderId="14" xfId="44" applyNumberFormat="1" applyFont="1" applyBorder="1" applyAlignment="1">
      <alignment/>
    </xf>
    <xf numFmtId="170" fontId="21" fillId="0" borderId="14" xfId="44" applyNumberFormat="1" applyFont="1" applyBorder="1" applyAlignment="1">
      <alignment/>
    </xf>
    <xf numFmtId="1" fontId="21" fillId="0" borderId="14" xfId="44" applyNumberFormat="1" applyFont="1" applyFill="1" applyBorder="1" applyAlignment="1">
      <alignment/>
    </xf>
    <xf numFmtId="1" fontId="21" fillId="0" borderId="14" xfId="44" applyNumberFormat="1" applyFont="1" applyBorder="1" applyAlignment="1">
      <alignment/>
    </xf>
    <xf numFmtId="0" fontId="21" fillId="0" borderId="17" xfId="57" applyBorder="1" applyAlignment="1">
      <alignment/>
      <protection/>
    </xf>
    <xf numFmtId="0" fontId="21" fillId="0" borderId="12" xfId="57" applyBorder="1" applyAlignment="1">
      <alignment/>
      <protection/>
    </xf>
    <xf numFmtId="0" fontId="21" fillId="36" borderId="14" xfId="57" applyFont="1" applyFill="1" applyBorder="1" applyAlignment="1">
      <alignment horizontal="center"/>
      <protection/>
    </xf>
    <xf numFmtId="0" fontId="29" fillId="0" borderId="17" xfId="57" applyFont="1" applyBorder="1" applyAlignment="1">
      <alignment vertical="center"/>
      <protection/>
    </xf>
    <xf numFmtId="0" fontId="29" fillId="0" borderId="13" xfId="57" applyFont="1" applyBorder="1" applyAlignment="1">
      <alignment vertical="center"/>
      <protection/>
    </xf>
    <xf numFmtId="0" fontId="29" fillId="0" borderId="12" xfId="57" applyFont="1" applyBorder="1" applyAlignment="1">
      <alignment vertical="center"/>
      <protection/>
    </xf>
    <xf numFmtId="0" fontId="111" fillId="0" borderId="11" xfId="0" applyFont="1" applyFill="1" applyBorder="1" applyAlignment="1">
      <alignment horizontal="left" wrapText="1"/>
    </xf>
    <xf numFmtId="0" fontId="110" fillId="0" borderId="30" xfId="0" applyFont="1" applyFill="1" applyBorder="1" applyAlignment="1">
      <alignment horizontal="left" wrapText="1"/>
    </xf>
    <xf numFmtId="0" fontId="110" fillId="0" borderId="31" xfId="0" applyFont="1" applyFill="1" applyBorder="1" applyAlignment="1">
      <alignment horizontal="left" wrapText="1"/>
    </xf>
    <xf numFmtId="0" fontId="2" fillId="0" borderId="11"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110" fillId="0" borderId="11" xfId="0" applyFont="1" applyFill="1" applyBorder="1" applyAlignment="1">
      <alignment horizontal="left" wrapText="1"/>
    </xf>
    <xf numFmtId="0" fontId="2" fillId="0" borderId="11"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11" xfId="0" applyFont="1" applyFill="1" applyBorder="1" applyAlignment="1">
      <alignment horizontal="left" vertical="top" wrapText="1" indent="3"/>
    </xf>
    <xf numFmtId="0" fontId="2" fillId="0" borderId="30" xfId="0" applyFont="1" applyFill="1" applyBorder="1" applyAlignment="1">
      <alignment horizontal="left" vertical="top" wrapText="1" indent="3"/>
    </xf>
    <xf numFmtId="0" fontId="2" fillId="0" borderId="31" xfId="0" applyFont="1" applyFill="1" applyBorder="1" applyAlignment="1">
      <alignment horizontal="left" vertical="top" wrapText="1" indent="3"/>
    </xf>
    <xf numFmtId="0" fontId="111" fillId="0" borderId="11" xfId="0" applyFont="1" applyFill="1" applyBorder="1" applyAlignment="1">
      <alignment horizontal="left" vertical="center" wrapText="1"/>
    </xf>
    <xf numFmtId="0" fontId="111" fillId="0" borderId="30" xfId="0" applyFont="1" applyFill="1" applyBorder="1" applyAlignment="1">
      <alignment horizontal="left" vertical="center" wrapText="1"/>
    </xf>
    <xf numFmtId="0" fontId="111" fillId="0" borderId="31" xfId="0" applyFont="1" applyFill="1" applyBorder="1" applyAlignment="1">
      <alignment horizontal="left" vertical="center" wrapText="1"/>
    </xf>
    <xf numFmtId="0" fontId="0" fillId="0" borderId="11"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9" fontId="111" fillId="0" borderId="11" xfId="0" applyNumberFormat="1"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11"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2" fillId="0" borderId="11" xfId="0" applyFont="1" applyFill="1" applyBorder="1" applyAlignment="1">
      <alignment horizontal="left" vertical="top" wrapText="1" indent="1"/>
    </xf>
    <xf numFmtId="0" fontId="2" fillId="0" borderId="30" xfId="0" applyFont="1" applyFill="1" applyBorder="1" applyAlignment="1">
      <alignment horizontal="left" vertical="top" wrapText="1" indent="1"/>
    </xf>
    <xf numFmtId="0" fontId="2" fillId="0" borderId="31" xfId="0" applyFont="1" applyFill="1" applyBorder="1" applyAlignment="1">
      <alignment horizontal="left" vertical="top" wrapText="1" indent="1"/>
    </xf>
    <xf numFmtId="0" fontId="123" fillId="0" borderId="30" xfId="0" applyFont="1" applyFill="1" applyBorder="1" applyAlignment="1">
      <alignment horizontal="left" vertical="center" wrapText="1"/>
    </xf>
    <xf numFmtId="0" fontId="123" fillId="0" borderId="31" xfId="0" applyFont="1" applyFill="1" applyBorder="1" applyAlignment="1">
      <alignment horizontal="left" vertical="center" wrapText="1"/>
    </xf>
    <xf numFmtId="0" fontId="28" fillId="0" borderId="29" xfId="62" applyFont="1" applyBorder="1" applyAlignment="1">
      <alignment horizontal="center"/>
      <protection/>
    </xf>
    <xf numFmtId="0" fontId="22" fillId="0" borderId="17" xfId="62" applyFont="1" applyBorder="1" applyAlignment="1">
      <alignment horizontal="center" vertical="center"/>
      <protection/>
    </xf>
    <xf numFmtId="0" fontId="22" fillId="0" borderId="13" xfId="62" applyFont="1" applyBorder="1" applyAlignment="1">
      <alignment horizontal="center" vertical="center"/>
      <protection/>
    </xf>
    <xf numFmtId="0" fontId="22" fillId="0" borderId="12" xfId="62" applyFont="1" applyBorder="1" applyAlignment="1">
      <alignment horizontal="center" vertical="center"/>
      <protection/>
    </xf>
    <xf numFmtId="0" fontId="22" fillId="0" borderId="17" xfId="62" applyFont="1" applyBorder="1" applyAlignment="1">
      <alignment horizontal="center" vertical="center" wrapText="1"/>
      <protection/>
    </xf>
    <xf numFmtId="0" fontId="93" fillId="0" borderId="13" xfId="62" applyBorder="1">
      <alignment/>
      <protection/>
    </xf>
    <xf numFmtId="0" fontId="93" fillId="0" borderId="12" xfId="62" applyBorder="1">
      <alignment/>
      <protection/>
    </xf>
    <xf numFmtId="0" fontId="22" fillId="0" borderId="15" xfId="62" applyFont="1" applyBorder="1" applyAlignment="1">
      <alignment horizontal="center" vertical="center"/>
      <protection/>
    </xf>
    <xf numFmtId="0" fontId="22" fillId="0" borderId="16" xfId="62" applyFont="1" applyBorder="1" applyAlignment="1">
      <alignment horizontal="center" vertical="center"/>
      <protection/>
    </xf>
    <xf numFmtId="0" fontId="22" fillId="0" borderId="18" xfId="62" applyFont="1" applyBorder="1" applyAlignment="1">
      <alignment horizontal="center" vertical="center"/>
      <protection/>
    </xf>
    <xf numFmtId="16" fontId="24" fillId="0" borderId="15" xfId="62" applyNumberFormat="1" applyFont="1" applyBorder="1" applyAlignment="1">
      <alignment horizontal="center" vertical="center"/>
      <protection/>
    </xf>
    <xf numFmtId="16" fontId="24" fillId="0" borderId="16" xfId="62" applyNumberFormat="1" applyFont="1" applyBorder="1" applyAlignment="1">
      <alignment horizontal="center" vertical="center"/>
      <protection/>
    </xf>
    <xf numFmtId="16" fontId="24" fillId="0" borderId="18" xfId="62" applyNumberFormat="1"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8" xfId="62" applyFont="1" applyBorder="1" applyAlignment="1">
      <alignment horizontal="center" vertical="center"/>
      <protection/>
    </xf>
    <xf numFmtId="0" fontId="93" fillId="0" borderId="20" xfId="62" applyBorder="1" applyAlignment="1">
      <alignment horizontal="center"/>
      <protection/>
    </xf>
    <xf numFmtId="0" fontId="93" fillId="0" borderId="19" xfId="62" applyBorder="1" applyAlignment="1">
      <alignment horizontal="center"/>
      <protection/>
    </xf>
    <xf numFmtId="0" fontId="93" fillId="0" borderId="17" xfId="62" applyBorder="1" applyAlignment="1">
      <alignment horizontal="center"/>
      <protection/>
    </xf>
    <xf numFmtId="0" fontId="22" fillId="0" borderId="14" xfId="62" applyFont="1" applyBorder="1" applyAlignment="1">
      <alignment horizontal="center" vertical="center"/>
      <protection/>
    </xf>
    <xf numFmtId="16" fontId="24" fillId="0" borderId="14" xfId="62" applyNumberFormat="1" applyFont="1" applyBorder="1" applyAlignment="1">
      <alignment horizontal="center" vertical="center"/>
      <protection/>
    </xf>
    <xf numFmtId="0" fontId="93" fillId="0" borderId="17" xfId="62" applyBorder="1" applyAlignment="1">
      <alignment horizontal="center" vertical="center"/>
      <protection/>
    </xf>
    <xf numFmtId="0" fontId="93" fillId="0" borderId="0" xfId="62" applyAlignment="1">
      <alignment horizontal="center"/>
      <protection/>
    </xf>
    <xf numFmtId="49" fontId="43" fillId="0" borderId="0" xfId="57" applyNumberFormat="1" applyFont="1" applyBorder="1" applyAlignment="1">
      <alignment horizontal="left" vertical="top" wrapText="1"/>
      <protection/>
    </xf>
    <xf numFmtId="49" fontId="44" fillId="0" borderId="0" xfId="57" applyNumberFormat="1" applyFont="1" applyBorder="1" applyAlignment="1">
      <alignment horizontal="center" vertical="justify" wrapText="1"/>
      <protection/>
    </xf>
    <xf numFmtId="49" fontId="43" fillId="0" borderId="0" xfId="57" applyNumberFormat="1" applyFont="1" applyBorder="1">
      <alignment/>
      <protection/>
    </xf>
    <xf numFmtId="0" fontId="42" fillId="0" borderId="0" xfId="57" applyFont="1" applyFill="1" applyBorder="1" applyAlignment="1">
      <alignment horizontal="justify" vertical="top" wrapText="1"/>
      <protection/>
    </xf>
    <xf numFmtId="0" fontId="54" fillId="0" borderId="0" xfId="57" applyFont="1" applyFill="1" applyBorder="1" applyAlignment="1">
      <alignment horizontal="justify" vertical="top"/>
      <protection/>
    </xf>
    <xf numFmtId="0" fontId="42" fillId="0" borderId="0" xfId="57" applyFont="1" applyFill="1" applyBorder="1" applyAlignment="1">
      <alignment horizontal="justify" vertical="top"/>
      <protection/>
    </xf>
    <xf numFmtId="0" fontId="21" fillId="0" borderId="0" xfId="57" applyFill="1" applyBorder="1" applyAlignment="1">
      <alignment horizontal="left" vertical="top" wrapText="1"/>
      <protection/>
    </xf>
    <xf numFmtId="0" fontId="29" fillId="36" borderId="0" xfId="57" applyFont="1" applyFill="1" applyAlignment="1">
      <alignment horizontal="center" wrapText="1"/>
      <protection/>
    </xf>
    <xf numFmtId="0" fontId="29" fillId="0" borderId="14" xfId="57" applyFont="1" applyBorder="1" applyAlignment="1">
      <alignment horizontal="center" vertical="center" wrapText="1"/>
      <protection/>
    </xf>
    <xf numFmtId="0" fontId="21" fillId="0" borderId="0" xfId="57" applyFont="1" applyAlignment="1">
      <alignment horizontal="justify" vertical="justify"/>
      <protection/>
    </xf>
    <xf numFmtId="0" fontId="21" fillId="0" borderId="14" xfId="57" applyBorder="1" applyAlignment="1">
      <alignment horizontal="center"/>
      <protection/>
    </xf>
    <xf numFmtId="0" fontId="21" fillId="0" borderId="0" xfId="57" applyAlignment="1">
      <alignment horizontal="left" vertical="top" wrapText="1"/>
      <protection/>
    </xf>
    <xf numFmtId="0" fontId="21" fillId="36" borderId="14" xfId="57" applyFont="1" applyFill="1" applyBorder="1" applyAlignment="1">
      <alignment horizontal="center"/>
      <protection/>
    </xf>
    <xf numFmtId="0" fontId="40" fillId="0" borderId="20" xfId="57" applyFont="1" applyBorder="1" applyAlignment="1">
      <alignment horizontal="center" vertical="center" wrapText="1"/>
      <protection/>
    </xf>
    <xf numFmtId="0" fontId="40" fillId="0" borderId="27" xfId="57" applyFont="1" applyBorder="1" applyAlignment="1">
      <alignment horizontal="center" vertical="center" wrapText="1"/>
      <protection/>
    </xf>
    <xf numFmtId="0" fontId="40" fillId="0" borderId="21" xfId="57" applyFont="1" applyBorder="1" applyAlignment="1">
      <alignment horizontal="center" vertical="center" wrapText="1"/>
      <protection/>
    </xf>
    <xf numFmtId="0" fontId="40" fillId="0" borderId="28" xfId="57" applyFont="1" applyBorder="1" applyAlignment="1">
      <alignment horizontal="center" vertical="center" wrapText="1"/>
      <protection/>
    </xf>
    <xf numFmtId="0" fontId="40" fillId="0" borderId="19" xfId="57" applyFont="1" applyBorder="1" applyAlignment="1">
      <alignment horizontal="center" vertical="center" wrapText="1"/>
      <protection/>
    </xf>
    <xf numFmtId="0" fontId="40" fillId="0" borderId="25" xfId="57" applyFont="1" applyBorder="1" applyAlignment="1">
      <alignment horizontal="center" vertical="center" wrapText="1"/>
      <protection/>
    </xf>
    <xf numFmtId="0" fontId="21" fillId="0" borderId="0" xfId="63" applyAlignment="1">
      <alignment horizontal="left" vertical="top" wrapText="1"/>
      <protection/>
    </xf>
    <xf numFmtId="0" fontId="21" fillId="0" borderId="0" xfId="63" applyAlignment="1">
      <alignment horizontal="center"/>
      <protection/>
    </xf>
    <xf numFmtId="0" fontId="21" fillId="34" borderId="14" xfId="63" applyFill="1" applyBorder="1" applyAlignment="1">
      <alignment horizontal="center"/>
      <protection/>
    </xf>
    <xf numFmtId="0" fontId="21" fillId="34" borderId="17" xfId="63" applyFill="1" applyBorder="1" applyAlignment="1">
      <alignment horizontal="center"/>
      <protection/>
    </xf>
    <xf numFmtId="0" fontId="21" fillId="34" borderId="13" xfId="63" applyFill="1" applyBorder="1" applyAlignment="1">
      <alignment horizontal="center"/>
      <protection/>
    </xf>
    <xf numFmtId="0" fontId="21" fillId="34" borderId="12" xfId="63" applyFill="1" applyBorder="1" applyAlignment="1">
      <alignment horizontal="center"/>
      <protection/>
    </xf>
    <xf numFmtId="0" fontId="29" fillId="0" borderId="20" xfId="57" applyFont="1" applyBorder="1" applyAlignment="1">
      <alignment horizontal="center" vertical="center"/>
      <protection/>
    </xf>
    <xf numFmtId="0" fontId="29" fillId="0" borderId="27" xfId="57" applyFont="1" applyBorder="1" applyAlignment="1">
      <alignment horizontal="center" vertical="center"/>
      <protection/>
    </xf>
    <xf numFmtId="0" fontId="29" fillId="0" borderId="21" xfId="57" applyFont="1" applyBorder="1" applyAlignment="1">
      <alignment horizontal="center" vertical="center"/>
      <protection/>
    </xf>
    <xf numFmtId="0" fontId="29" fillId="0" borderId="28" xfId="57" applyFont="1" applyBorder="1" applyAlignment="1">
      <alignment horizontal="center" vertical="center"/>
      <protection/>
    </xf>
    <xf numFmtId="0" fontId="29" fillId="0" borderId="19" xfId="57" applyFont="1" applyBorder="1" applyAlignment="1">
      <alignment horizontal="center" vertical="center"/>
      <protection/>
    </xf>
    <xf numFmtId="0" fontId="29" fillId="0" borderId="25" xfId="57" applyFont="1" applyBorder="1" applyAlignment="1">
      <alignment horizontal="center" vertical="center"/>
      <protection/>
    </xf>
    <xf numFmtId="0" fontId="71" fillId="0" borderId="20" xfId="57" applyFont="1" applyBorder="1" applyAlignment="1">
      <alignment horizontal="center" vertical="center" wrapText="1"/>
      <protection/>
    </xf>
    <xf numFmtId="0" fontId="71" fillId="0" borderId="26" xfId="57" applyFont="1" applyBorder="1" applyAlignment="1">
      <alignment horizontal="center" vertical="center" wrapText="1"/>
      <protection/>
    </xf>
    <xf numFmtId="0" fontId="71" fillId="0" borderId="27" xfId="57" applyFont="1" applyBorder="1" applyAlignment="1">
      <alignment horizontal="center" vertical="center" wrapText="1"/>
      <protection/>
    </xf>
    <xf numFmtId="0" fontId="71" fillId="0" borderId="21" xfId="57" applyFont="1" applyBorder="1" applyAlignment="1">
      <alignment horizontal="center" vertical="center" wrapText="1"/>
      <protection/>
    </xf>
    <xf numFmtId="0" fontId="71" fillId="0" borderId="0" xfId="57" applyFont="1" applyBorder="1" applyAlignment="1">
      <alignment horizontal="center" vertical="center" wrapText="1"/>
      <protection/>
    </xf>
    <xf numFmtId="0" fontId="71" fillId="0" borderId="28" xfId="57" applyFont="1" applyBorder="1" applyAlignment="1">
      <alignment horizontal="center" vertical="center" wrapText="1"/>
      <protection/>
    </xf>
    <xf numFmtId="0" fontId="71" fillId="0" borderId="19" xfId="57" applyFont="1" applyBorder="1" applyAlignment="1">
      <alignment horizontal="center" vertical="center" wrapText="1"/>
      <protection/>
    </xf>
    <xf numFmtId="0" fontId="71" fillId="0" borderId="29" xfId="57" applyFont="1" applyBorder="1" applyAlignment="1">
      <alignment horizontal="center" vertical="center" wrapText="1"/>
      <protection/>
    </xf>
    <xf numFmtId="0" fontId="71" fillId="0" borderId="25" xfId="57" applyFont="1" applyBorder="1" applyAlignment="1">
      <alignment horizontal="center" vertical="center" wrapText="1"/>
      <protection/>
    </xf>
    <xf numFmtId="2" fontId="21" fillId="0" borderId="17" xfId="57" applyNumberFormat="1" applyBorder="1" applyAlignment="1">
      <alignment horizontal="center"/>
      <protection/>
    </xf>
    <xf numFmtId="2" fontId="21" fillId="0" borderId="12" xfId="57" applyNumberFormat="1" applyBorder="1" applyAlignment="1">
      <alignment horizontal="center"/>
      <protection/>
    </xf>
    <xf numFmtId="0" fontId="29" fillId="0" borderId="20" xfId="57" applyFont="1" applyBorder="1" applyAlignment="1">
      <alignment horizontal="center" vertical="justify" wrapText="1"/>
      <protection/>
    </xf>
    <xf numFmtId="0" fontId="29" fillId="0" borderId="26" xfId="57" applyFont="1" applyBorder="1" applyAlignment="1">
      <alignment horizontal="center" vertical="justify" wrapText="1"/>
      <protection/>
    </xf>
    <xf numFmtId="0" fontId="29" fillId="0" borderId="27" xfId="57" applyFont="1" applyBorder="1" applyAlignment="1">
      <alignment horizontal="center" vertical="justify" wrapText="1"/>
      <protection/>
    </xf>
    <xf numFmtId="0" fontId="29" fillId="0" borderId="21" xfId="57" applyFont="1" applyBorder="1" applyAlignment="1">
      <alignment horizontal="center" vertical="justify" wrapText="1"/>
      <protection/>
    </xf>
    <xf numFmtId="0" fontId="29" fillId="0" borderId="0" xfId="57" applyFont="1" applyBorder="1" applyAlignment="1">
      <alignment horizontal="center" vertical="justify" wrapText="1"/>
      <protection/>
    </xf>
    <xf numFmtId="0" fontId="29" fillId="0" borderId="28" xfId="57" applyFont="1" applyBorder="1" applyAlignment="1">
      <alignment horizontal="center" vertical="justify" wrapText="1"/>
      <protection/>
    </xf>
    <xf numFmtId="0" fontId="29" fillId="0" borderId="19" xfId="57" applyFont="1" applyBorder="1" applyAlignment="1">
      <alignment horizontal="center" vertical="justify" wrapText="1"/>
      <protection/>
    </xf>
    <xf numFmtId="0" fontId="29" fillId="0" borderId="29" xfId="57" applyFont="1" applyBorder="1" applyAlignment="1">
      <alignment horizontal="center" vertical="justify" wrapText="1"/>
      <protection/>
    </xf>
    <xf numFmtId="0" fontId="29" fillId="0" borderId="25" xfId="57" applyFont="1" applyBorder="1" applyAlignment="1">
      <alignment horizontal="center" vertical="justify" wrapText="1"/>
      <protection/>
    </xf>
    <xf numFmtId="0" fontId="21" fillId="0" borderId="17" xfId="57" applyBorder="1" applyAlignment="1">
      <alignment horizontal="center"/>
      <protection/>
    </xf>
    <xf numFmtId="0" fontId="21" fillId="0" borderId="12" xfId="57" applyBorder="1" applyAlignment="1">
      <alignment horizontal="center"/>
      <protection/>
    </xf>
    <xf numFmtId="2" fontId="21" fillId="0" borderId="17" xfId="57" applyNumberFormat="1" applyBorder="1" applyAlignment="1">
      <alignment horizontal="left" vertical="top" wrapText="1"/>
      <protection/>
    </xf>
    <xf numFmtId="2" fontId="21" fillId="0" borderId="13" xfId="57" applyNumberFormat="1" applyBorder="1" applyAlignment="1">
      <alignment horizontal="left" vertical="top" wrapText="1"/>
      <protection/>
    </xf>
    <xf numFmtId="2" fontId="21" fillId="0" borderId="12" xfId="57" applyNumberFormat="1" applyBorder="1" applyAlignment="1">
      <alignment horizontal="left" vertical="top" wrapText="1"/>
      <protection/>
    </xf>
    <xf numFmtId="0" fontId="21" fillId="0" borderId="14" xfId="57" applyBorder="1" applyAlignment="1">
      <alignment horizontal="left"/>
      <protection/>
    </xf>
    <xf numFmtId="0" fontId="29" fillId="0" borderId="17" xfId="57" applyFont="1" applyBorder="1" applyAlignment="1">
      <alignment horizontal="center"/>
      <protection/>
    </xf>
    <xf numFmtId="0" fontId="29" fillId="0" borderId="13" xfId="57" applyFont="1" applyBorder="1" applyAlignment="1">
      <alignment horizontal="center"/>
      <protection/>
    </xf>
    <xf numFmtId="0" fontId="29" fillId="0" borderId="12" xfId="57" applyFont="1" applyBorder="1" applyAlignment="1">
      <alignment horizontal="center"/>
      <protection/>
    </xf>
    <xf numFmtId="0" fontId="21" fillId="0" borderId="13" xfId="57" applyBorder="1" applyAlignment="1">
      <alignment horizontal="center"/>
      <protection/>
    </xf>
    <xf numFmtId="0" fontId="21" fillId="0" borderId="17" xfId="57" applyBorder="1" applyAlignment="1">
      <alignment horizontal="left"/>
      <protection/>
    </xf>
    <xf numFmtId="0" fontId="21" fillId="0" borderId="12" xfId="57" applyBorder="1" applyAlignment="1">
      <alignment horizontal="left"/>
      <protection/>
    </xf>
    <xf numFmtId="0" fontId="21" fillId="0" borderId="15" xfId="57" applyBorder="1" applyAlignment="1">
      <alignment horizontal="left"/>
      <protection/>
    </xf>
    <xf numFmtId="0" fontId="21" fillId="0" borderId="18" xfId="57" applyBorder="1" applyAlignment="1">
      <alignment horizontal="left"/>
      <protection/>
    </xf>
    <xf numFmtId="0" fontId="21" fillId="0" borderId="0" xfId="57" applyAlignment="1">
      <alignment horizontal="center" vertical="top" wrapText="1"/>
      <protection/>
    </xf>
    <xf numFmtId="0" fontId="29" fillId="0" borderId="0" xfId="57" applyFont="1" applyAlignment="1">
      <alignment horizontal="center"/>
      <protection/>
    </xf>
    <xf numFmtId="0" fontId="29" fillId="36" borderId="0" xfId="57" applyFont="1" applyFill="1" applyAlignment="1">
      <alignment horizontal="left" wrapText="1"/>
      <protection/>
    </xf>
    <xf numFmtId="0" fontId="29" fillId="33" borderId="0" xfId="57" applyFont="1" applyFill="1" applyAlignment="1">
      <alignment horizontal="left" wrapText="1"/>
      <protection/>
    </xf>
    <xf numFmtId="0" fontId="21" fillId="0" borderId="17" xfId="57" applyBorder="1" applyAlignment="1">
      <alignment horizontal="center" vertical="top" wrapText="1"/>
      <protection/>
    </xf>
    <xf numFmtId="0" fontId="21" fillId="0" borderId="12" xfId="57" applyBorder="1" applyAlignment="1">
      <alignment horizontal="center" vertical="top" wrapText="1"/>
      <protection/>
    </xf>
    <xf numFmtId="0" fontId="21" fillId="0" borderId="17" xfId="57" applyFont="1" applyBorder="1" applyAlignment="1">
      <alignment horizontal="center" vertical="center" wrapText="1"/>
      <protection/>
    </xf>
    <xf numFmtId="0" fontId="21" fillId="0" borderId="12" xfId="57" applyFont="1" applyBorder="1" applyAlignment="1">
      <alignment horizontal="center" vertical="center" wrapText="1"/>
      <protection/>
    </xf>
    <xf numFmtId="0" fontId="0" fillId="0" borderId="0" xfId="0" applyFill="1" applyBorder="1" applyAlignment="1">
      <alignment horizontal="left" vertical="top" wrapText="1" indent="1"/>
    </xf>
    <xf numFmtId="0" fontId="2" fillId="0" borderId="0" xfId="0" applyFont="1" applyFill="1" applyBorder="1" applyAlignment="1">
      <alignment horizontal="right" vertical="top" wrapText="1" indent="4"/>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indent="6"/>
    </xf>
    <xf numFmtId="0" fontId="3" fillId="0" borderId="0" xfId="0" applyFont="1" applyFill="1" applyBorder="1" applyAlignment="1">
      <alignment horizontal="right" vertical="top" wrapText="1" indent="4"/>
    </xf>
    <xf numFmtId="0" fontId="0" fillId="0" borderId="0" xfId="0" applyFill="1" applyBorder="1" applyAlignment="1">
      <alignment horizontal="left" wrapText="1" indent="2"/>
    </xf>
    <xf numFmtId="0" fontId="2" fillId="0" borderId="0" xfId="0" applyFont="1" applyFill="1" applyBorder="1" applyAlignment="1">
      <alignment horizontal="left" vertical="top" wrapText="1" indent="7"/>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left" vertical="center" wrapText="1" indent="5"/>
    </xf>
    <xf numFmtId="0" fontId="2" fillId="0" borderId="31" xfId="0" applyFont="1" applyFill="1" applyBorder="1" applyAlignment="1">
      <alignment horizontal="left" vertical="center" wrapText="1" indent="5"/>
    </xf>
    <xf numFmtId="0" fontId="0" fillId="0" borderId="11" xfId="0" applyFill="1" applyBorder="1" applyAlignment="1">
      <alignment horizontal="left" vertical="center" wrapText="1"/>
    </xf>
    <xf numFmtId="0" fontId="2" fillId="0" borderId="33" xfId="0" applyFont="1" applyFill="1" applyBorder="1" applyAlignment="1">
      <alignment horizontal="right" vertical="top" wrapText="1"/>
    </xf>
    <xf numFmtId="0" fontId="2" fillId="0" borderId="0" xfId="0" applyFont="1" applyFill="1" applyBorder="1" applyAlignment="1">
      <alignment horizontal="left" vertical="top" wrapText="1" indent="8"/>
    </xf>
    <xf numFmtId="0" fontId="0" fillId="0" borderId="32" xfId="0" applyFill="1" applyBorder="1" applyAlignment="1">
      <alignment horizontal="right" vertical="top"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2" fillId="0" borderId="11" xfId="0" applyFont="1" applyFill="1" applyBorder="1" applyAlignment="1">
      <alignment horizontal="left" vertical="top" wrapText="1" indent="1"/>
    </xf>
    <xf numFmtId="1" fontId="111" fillId="0" borderId="11" xfId="0" applyNumberFormat="1" applyFont="1" applyFill="1" applyBorder="1" applyAlignment="1">
      <alignment horizontal="center" vertical="top" shrinkToFit="1"/>
    </xf>
    <xf numFmtId="1" fontId="111" fillId="0" borderId="31" xfId="0" applyNumberFormat="1" applyFont="1" applyFill="1" applyBorder="1" applyAlignment="1">
      <alignment horizontal="center" vertical="top" shrinkToFit="1"/>
    </xf>
    <xf numFmtId="1" fontId="111" fillId="0" borderId="30" xfId="0" applyNumberFormat="1" applyFont="1" applyFill="1" applyBorder="1" applyAlignment="1">
      <alignment horizontal="center" vertical="top" shrinkToFit="1"/>
    </xf>
    <xf numFmtId="0" fontId="0" fillId="0" borderId="0" xfId="0" applyFill="1" applyBorder="1" applyAlignment="1">
      <alignment horizontal="left" vertical="center" wrapText="1" indent="5"/>
    </xf>
    <xf numFmtId="0" fontId="0" fillId="0" borderId="32" xfId="0" applyFill="1" applyBorder="1" applyAlignment="1">
      <alignment horizontal="center" vertical="top" wrapText="1"/>
    </xf>
    <xf numFmtId="0" fontId="2" fillId="0" borderId="11"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31" xfId="0" applyFont="1" applyFill="1" applyBorder="1" applyAlignment="1">
      <alignment horizontal="left" vertical="top" wrapText="1"/>
    </xf>
    <xf numFmtId="0" fontId="110" fillId="0" borderId="11" xfId="0" applyFont="1" applyFill="1" applyBorder="1" applyAlignment="1">
      <alignment horizontal="center" vertical="center" wrapText="1"/>
    </xf>
    <xf numFmtId="0" fontId="110" fillId="0" borderId="30" xfId="0" applyFont="1" applyFill="1" applyBorder="1" applyAlignment="1">
      <alignment horizontal="center" vertical="center" wrapText="1"/>
    </xf>
    <xf numFmtId="0" fontId="110" fillId="0" borderId="31"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31" xfId="0" applyFill="1" applyBorder="1" applyAlignment="1">
      <alignment horizontal="left" vertical="top" wrapText="1"/>
    </xf>
    <xf numFmtId="0" fontId="0" fillId="0" borderId="0" xfId="0" applyFill="1" applyBorder="1" applyAlignment="1">
      <alignment horizontal="right" vertical="top" wrapText="1"/>
    </xf>
    <xf numFmtId="0" fontId="2" fillId="0" borderId="33" xfId="0" applyFont="1" applyFill="1" applyBorder="1" applyAlignment="1">
      <alignment horizontal="center" vertical="top" wrapText="1"/>
    </xf>
    <xf numFmtId="0" fontId="2" fillId="0" borderId="0" xfId="0" applyFont="1" applyFill="1" applyBorder="1" applyAlignment="1">
      <alignment horizontal="left" wrapText="1" indent="29"/>
    </xf>
    <xf numFmtId="0" fontId="0" fillId="0" borderId="0" xfId="0" applyFill="1" applyBorder="1" applyAlignment="1">
      <alignment horizontal="left" vertical="top" wrapText="1" indent="8"/>
    </xf>
    <xf numFmtId="0" fontId="0" fillId="0" borderId="0" xfId="0" applyFill="1" applyBorder="1" applyAlignment="1">
      <alignment horizontal="left" vertical="top" wrapText="1" indent="6"/>
    </xf>
    <xf numFmtId="0" fontId="3" fillId="0" borderId="30" xfId="0" applyFont="1" applyFill="1" applyBorder="1" applyAlignment="1">
      <alignment horizontal="left" vertical="top" wrapText="1"/>
    </xf>
    <xf numFmtId="0" fontId="3" fillId="0" borderId="34" xfId="0" applyFont="1" applyFill="1" applyBorder="1" applyAlignment="1">
      <alignment horizontal="left" vertical="center" wrapText="1" indent="4"/>
    </xf>
    <xf numFmtId="0" fontId="3" fillId="0" borderId="36" xfId="0" applyFont="1" applyFill="1" applyBorder="1" applyAlignment="1">
      <alignment horizontal="left" vertical="center" wrapText="1" indent="4"/>
    </xf>
    <xf numFmtId="0" fontId="3" fillId="0" borderId="35" xfId="0" applyFont="1" applyFill="1" applyBorder="1" applyAlignment="1">
      <alignment horizontal="left" vertical="center" wrapText="1" indent="4"/>
    </xf>
    <xf numFmtId="0" fontId="4" fillId="0" borderId="11" xfId="0" applyFont="1" applyFill="1" applyBorder="1" applyAlignment="1">
      <alignment horizontal="center" vertical="top" wrapText="1"/>
    </xf>
    <xf numFmtId="0" fontId="4" fillId="0" borderId="31" xfId="0" applyFont="1" applyFill="1" applyBorder="1" applyAlignment="1">
      <alignment horizontal="center" vertical="top" wrapText="1"/>
    </xf>
    <xf numFmtId="1" fontId="112" fillId="0" borderId="11" xfId="0" applyNumberFormat="1" applyFont="1" applyFill="1" applyBorder="1" applyAlignment="1">
      <alignment horizontal="center" vertical="top" shrinkToFit="1"/>
    </xf>
    <xf numFmtId="1" fontId="112" fillId="0" borderId="31" xfId="0" applyNumberFormat="1" applyFont="1" applyFill="1" applyBorder="1" applyAlignment="1">
      <alignment horizontal="center" vertical="top" shrinkToFit="1"/>
    </xf>
    <xf numFmtId="0" fontId="0" fillId="0" borderId="30" xfId="0" applyFill="1" applyBorder="1" applyAlignment="1">
      <alignment horizontal="left" vertical="top" wrapText="1"/>
    </xf>
    <xf numFmtId="0" fontId="3" fillId="0" borderId="11" xfId="0" applyFont="1" applyFill="1" applyBorder="1" applyAlignment="1">
      <alignment horizontal="left" vertical="top" wrapText="1"/>
    </xf>
    <xf numFmtId="0" fontId="2" fillId="0" borderId="14" xfId="0" applyFont="1" applyFill="1" applyBorder="1" applyAlignment="1">
      <alignment horizontal="right" vertical="top" wrapText="1"/>
    </xf>
    <xf numFmtId="0" fontId="2" fillId="0" borderId="14" xfId="0" applyFont="1" applyFill="1" applyBorder="1" applyAlignment="1">
      <alignment horizontal="right" vertical="top" wrapText="1"/>
    </xf>
    <xf numFmtId="0" fontId="2" fillId="0" borderId="14" xfId="0" applyFont="1" applyFill="1" applyBorder="1" applyAlignment="1">
      <alignment horizontal="left" vertical="center" wrapText="1" indent="24"/>
    </xf>
    <xf numFmtId="0" fontId="69" fillId="0" borderId="0" xfId="0" applyFont="1" applyFill="1" applyBorder="1" applyAlignment="1">
      <alignment horizontal="left" vertical="top" wrapText="1" indent="1"/>
    </xf>
    <xf numFmtId="0" fontId="0" fillId="0" borderId="0" xfId="0" applyFill="1" applyBorder="1" applyAlignment="1">
      <alignment horizontal="left" vertical="top" wrapText="1" indent="3"/>
    </xf>
    <xf numFmtId="0" fontId="2" fillId="0" borderId="0" xfId="0" applyFont="1" applyFill="1" applyBorder="1" applyAlignment="1">
      <alignment horizontal="center" vertical="top" wrapText="1"/>
    </xf>
    <xf numFmtId="0" fontId="2" fillId="0" borderId="0" xfId="0" applyFont="1" applyFill="1" applyBorder="1" applyAlignment="1">
      <alignment horizontal="right" vertical="top" wrapText="1" indent="10"/>
    </xf>
    <xf numFmtId="0" fontId="117" fillId="0" borderId="11" xfId="0" applyFont="1" applyFill="1" applyBorder="1" applyAlignment="1">
      <alignment horizontal="center" vertical="center" wrapText="1"/>
    </xf>
    <xf numFmtId="0" fontId="117" fillId="0" borderId="31" xfId="0" applyFont="1" applyFill="1" applyBorder="1" applyAlignment="1">
      <alignment horizontal="center" vertical="center" wrapText="1"/>
    </xf>
    <xf numFmtId="1" fontId="111" fillId="0" borderId="11" xfId="0" applyNumberFormat="1" applyFont="1" applyFill="1" applyBorder="1" applyAlignment="1">
      <alignment horizontal="center" vertical="center" shrinkToFit="1"/>
    </xf>
    <xf numFmtId="1" fontId="111" fillId="0" borderId="31" xfId="0" applyNumberFormat="1" applyFont="1" applyFill="1" applyBorder="1" applyAlignment="1">
      <alignment horizontal="center" vertical="center" shrinkToFit="1"/>
    </xf>
    <xf numFmtId="0" fontId="2" fillId="0" borderId="11" xfId="0" applyFont="1" applyFill="1" applyBorder="1" applyAlignment="1">
      <alignment horizontal="center" vertical="top" wrapText="1"/>
    </xf>
    <xf numFmtId="2" fontId="117" fillId="0" borderId="11" xfId="0" applyNumberFormat="1" applyFont="1" applyFill="1" applyBorder="1" applyAlignment="1">
      <alignment horizontal="center" vertical="center" wrapText="1"/>
    </xf>
    <xf numFmtId="2" fontId="117" fillId="0" borderId="31" xfId="0" applyNumberFormat="1" applyFont="1" applyFill="1" applyBorder="1" applyAlignment="1">
      <alignment horizontal="center" vertical="center" wrapText="1"/>
    </xf>
    <xf numFmtId="0" fontId="119" fillId="36" borderId="24" xfId="57" applyFont="1" applyFill="1" applyBorder="1" applyAlignment="1">
      <alignment horizontal="left" vertical="top" wrapText="1"/>
      <protection/>
    </xf>
    <xf numFmtId="0" fontId="119" fillId="36" borderId="12" xfId="57" applyFont="1" applyFill="1" applyBorder="1" applyAlignment="1">
      <alignment horizontal="left" vertical="top" wrapText="1"/>
      <protection/>
    </xf>
    <xf numFmtId="0" fontId="29" fillId="0" borderId="0" xfId="57" applyFont="1" applyBorder="1" applyAlignment="1">
      <alignment horizontal="center"/>
      <protection/>
    </xf>
    <xf numFmtId="0" fontId="120" fillId="36" borderId="0" xfId="57" applyFont="1" applyFill="1" applyBorder="1" applyAlignment="1">
      <alignment horizontal="center"/>
      <protection/>
    </xf>
    <xf numFmtId="0" fontId="120" fillId="36" borderId="0" xfId="57" applyFont="1" applyFill="1" applyBorder="1" applyAlignment="1">
      <alignment horizontal="center" vertical="top" wrapText="1"/>
      <protection/>
    </xf>
    <xf numFmtId="0" fontId="119" fillId="36" borderId="37" xfId="57" applyFont="1" applyFill="1" applyBorder="1" applyAlignment="1">
      <alignment horizontal="center"/>
      <protection/>
    </xf>
    <xf numFmtId="0" fontId="119" fillId="36" borderId="38" xfId="57" applyFont="1" applyFill="1" applyBorder="1" applyAlignment="1">
      <alignment horizontal="center"/>
      <protection/>
    </xf>
    <xf numFmtId="0" fontId="120" fillId="36" borderId="39" xfId="57" applyFont="1" applyFill="1" applyBorder="1" applyAlignment="1">
      <alignment horizontal="center"/>
      <protection/>
    </xf>
    <xf numFmtId="0" fontId="120" fillId="36" borderId="40" xfId="57" applyFont="1" applyFill="1" applyBorder="1" applyAlignment="1">
      <alignment horizontal="center"/>
      <protection/>
    </xf>
    <xf numFmtId="0" fontId="119" fillId="36" borderId="15" xfId="57" applyFont="1" applyFill="1" applyBorder="1" applyAlignment="1">
      <alignment horizontal="left" vertical="top" wrapText="1"/>
      <protection/>
    </xf>
    <xf numFmtId="0" fontId="119" fillId="36" borderId="18" xfId="57" applyFont="1" applyFill="1" applyBorder="1" applyAlignment="1">
      <alignment horizontal="left" vertical="top" wrapText="1"/>
      <protection/>
    </xf>
    <xf numFmtId="0" fontId="93" fillId="0" borderId="0" xfId="58" applyAlignment="1">
      <alignment horizontal="center"/>
      <protection/>
    </xf>
    <xf numFmtId="0" fontId="22" fillId="0" borderId="14" xfId="58" applyFont="1" applyBorder="1" applyAlignment="1">
      <alignment horizontal="center" vertical="center"/>
      <protection/>
    </xf>
    <xf numFmtId="16" fontId="24" fillId="0" borderId="14" xfId="58" applyNumberFormat="1" applyFont="1" applyBorder="1" applyAlignment="1">
      <alignment horizontal="center" vertical="center"/>
      <protection/>
    </xf>
    <xf numFmtId="0" fontId="93" fillId="0" borderId="17" xfId="58" applyBorder="1" applyAlignment="1">
      <alignment horizontal="center" vertical="center"/>
      <protection/>
    </xf>
    <xf numFmtId="0" fontId="22" fillId="0" borderId="15" xfId="58" applyFont="1" applyBorder="1" applyAlignment="1">
      <alignment horizontal="center" vertical="center"/>
      <protection/>
    </xf>
    <xf numFmtId="16" fontId="24" fillId="0" borderId="15" xfId="58" applyNumberFormat="1" applyFont="1" applyBorder="1" applyAlignment="1">
      <alignment horizontal="center" vertical="center"/>
      <protection/>
    </xf>
    <xf numFmtId="16" fontId="24" fillId="0" borderId="18" xfId="58" applyNumberFormat="1" applyFont="1" applyBorder="1" applyAlignment="1">
      <alignment horizontal="center" vertical="center"/>
      <protection/>
    </xf>
    <xf numFmtId="0" fontId="22" fillId="0" borderId="18" xfId="58" applyFont="1" applyBorder="1" applyAlignment="1">
      <alignment horizontal="center" vertical="center"/>
      <protection/>
    </xf>
    <xf numFmtId="0" fontId="24" fillId="0" borderId="15" xfId="58" applyFont="1" applyBorder="1" applyAlignment="1">
      <alignment horizontal="center" vertical="center"/>
      <protection/>
    </xf>
    <xf numFmtId="0" fontId="24" fillId="0" borderId="18" xfId="58" applyFont="1" applyBorder="1" applyAlignment="1">
      <alignment horizontal="center" vertical="center"/>
      <protection/>
    </xf>
    <xf numFmtId="0" fontId="93" fillId="0" borderId="20" xfId="58" applyBorder="1" applyAlignment="1">
      <alignment horizontal="center" vertical="center"/>
      <protection/>
    </xf>
    <xf numFmtId="0" fontId="93" fillId="0" borderId="19" xfId="58" applyBorder="1" applyAlignment="1">
      <alignment horizontal="center" vertical="center"/>
      <protection/>
    </xf>
    <xf numFmtId="0" fontId="28" fillId="0" borderId="29" xfId="58" applyFont="1" applyBorder="1" applyAlignment="1">
      <alignment horizontal="center"/>
      <protection/>
    </xf>
    <xf numFmtId="0" fontId="22" fillId="0" borderId="17" xfId="58" applyFont="1" applyBorder="1" applyAlignment="1">
      <alignment horizontal="center" vertical="center"/>
      <protection/>
    </xf>
    <xf numFmtId="0" fontId="22" fillId="0" borderId="13" xfId="58" applyFont="1" applyBorder="1" applyAlignment="1">
      <alignment horizontal="center" vertical="center"/>
      <protection/>
    </xf>
    <xf numFmtId="0" fontId="22" fillId="0" borderId="12" xfId="58" applyFont="1" applyBorder="1" applyAlignment="1">
      <alignment horizontal="center" vertical="center"/>
      <protection/>
    </xf>
    <xf numFmtId="0" fontId="22" fillId="0" borderId="17" xfId="58" applyFont="1" applyBorder="1" applyAlignment="1">
      <alignment horizontal="center" vertical="center" wrapText="1"/>
      <protection/>
    </xf>
    <xf numFmtId="0" fontId="93" fillId="0" borderId="13" xfId="58" applyBorder="1">
      <alignment/>
      <protection/>
    </xf>
    <xf numFmtId="0" fontId="93" fillId="0" borderId="12" xfId="58" applyBorder="1">
      <alignment/>
      <protection/>
    </xf>
    <xf numFmtId="0" fontId="22" fillId="0" borderId="16" xfId="58" applyFont="1" applyBorder="1" applyAlignment="1">
      <alignment horizontal="center" vertical="center"/>
      <protection/>
    </xf>
    <xf numFmtId="16" fontId="24" fillId="0" borderId="16" xfId="58" applyNumberFormat="1" applyFont="1" applyBorder="1" applyAlignment="1">
      <alignment horizontal="center" vertical="center"/>
      <protection/>
    </xf>
    <xf numFmtId="0" fontId="93" fillId="0" borderId="17" xfId="58" applyBorder="1" applyAlignment="1">
      <alignment horizontal="center"/>
      <protection/>
    </xf>
    <xf numFmtId="0" fontId="93" fillId="0" borderId="20" xfId="58" applyBorder="1" applyAlignment="1">
      <alignment horizontal="center"/>
      <protection/>
    </xf>
    <xf numFmtId="0" fontId="93" fillId="0" borderId="19" xfId="58" applyBorder="1" applyAlignment="1">
      <alignment horizontal="center"/>
      <protection/>
    </xf>
    <xf numFmtId="0" fontId="93" fillId="0" borderId="0" xfId="61" applyAlignment="1">
      <alignment horizontal="center"/>
      <protection/>
    </xf>
    <xf numFmtId="0" fontId="22" fillId="0" borderId="14" xfId="61" applyFont="1" applyBorder="1" applyAlignment="1">
      <alignment horizontal="center" vertical="center"/>
      <protection/>
    </xf>
    <xf numFmtId="16" fontId="24" fillId="0" borderId="14" xfId="61" applyNumberFormat="1" applyFont="1" applyBorder="1" applyAlignment="1">
      <alignment horizontal="center" vertical="center"/>
      <protection/>
    </xf>
    <xf numFmtId="0" fontId="93" fillId="0" borderId="17" xfId="61" applyBorder="1" applyAlignment="1">
      <alignment horizontal="center" vertical="center"/>
      <protection/>
    </xf>
    <xf numFmtId="0" fontId="22" fillId="0" borderId="15" xfId="61" applyFont="1" applyBorder="1" applyAlignment="1">
      <alignment horizontal="center" vertical="center"/>
      <protection/>
    </xf>
    <xf numFmtId="16" fontId="24" fillId="0" borderId="15" xfId="61" applyNumberFormat="1" applyFont="1" applyBorder="1" applyAlignment="1">
      <alignment horizontal="center" vertical="center"/>
      <protection/>
    </xf>
    <xf numFmtId="16" fontId="24" fillId="0" borderId="18" xfId="61" applyNumberFormat="1" applyFont="1" applyBorder="1" applyAlignment="1">
      <alignment horizontal="center" vertical="center"/>
      <protection/>
    </xf>
    <xf numFmtId="0" fontId="22" fillId="0" borderId="18" xfId="61" applyFont="1" applyBorder="1" applyAlignment="1">
      <alignment horizontal="center" vertical="center"/>
      <protection/>
    </xf>
    <xf numFmtId="0" fontId="24" fillId="0" borderId="15" xfId="61" applyFont="1" applyBorder="1" applyAlignment="1">
      <alignment horizontal="center" vertical="center"/>
      <protection/>
    </xf>
    <xf numFmtId="0" fontId="24" fillId="0" borderId="18" xfId="61" applyFont="1" applyBorder="1" applyAlignment="1">
      <alignment horizontal="center" vertical="center"/>
      <protection/>
    </xf>
    <xf numFmtId="0" fontId="93" fillId="0" borderId="17" xfId="61" applyBorder="1" applyAlignment="1">
      <alignment horizontal="center"/>
      <protection/>
    </xf>
    <xf numFmtId="0" fontId="93" fillId="0" borderId="20" xfId="61" applyBorder="1" applyAlignment="1">
      <alignment horizontal="center"/>
      <protection/>
    </xf>
    <xf numFmtId="0" fontId="93" fillId="0" borderId="19" xfId="61" applyBorder="1" applyAlignment="1">
      <alignment horizontal="center"/>
      <protection/>
    </xf>
    <xf numFmtId="0" fontId="28" fillId="0" borderId="29" xfId="61" applyFont="1" applyBorder="1" applyAlignment="1">
      <alignment horizontal="center"/>
      <protection/>
    </xf>
    <xf numFmtId="0" fontId="22" fillId="0" borderId="17"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7" xfId="61" applyFont="1" applyBorder="1" applyAlignment="1">
      <alignment horizontal="center" vertical="center" wrapText="1"/>
      <protection/>
    </xf>
    <xf numFmtId="0" fontId="93" fillId="0" borderId="13" xfId="61" applyBorder="1">
      <alignment/>
      <protection/>
    </xf>
    <xf numFmtId="0" fontId="93" fillId="0" borderId="12" xfId="61" applyBorder="1">
      <alignment/>
      <protection/>
    </xf>
    <xf numFmtId="0" fontId="22" fillId="0" borderId="16" xfId="61" applyFont="1" applyBorder="1" applyAlignment="1">
      <alignment horizontal="center" vertical="center"/>
      <protection/>
    </xf>
    <xf numFmtId="16" fontId="24" fillId="0" borderId="16" xfId="61" applyNumberFormat="1" applyFont="1" applyBorder="1" applyAlignment="1">
      <alignment horizontal="center" vertical="center"/>
      <protection/>
    </xf>
    <xf numFmtId="0" fontId="63" fillId="0" borderId="0" xfId="65" applyFont="1" applyAlignment="1">
      <alignment horizontal="center"/>
      <protection/>
    </xf>
    <xf numFmtId="0" fontId="63" fillId="0" borderId="14" xfId="65" applyFont="1" applyBorder="1" applyAlignment="1">
      <alignment horizontal="center"/>
      <protection/>
    </xf>
    <xf numFmtId="0" fontId="63" fillId="0" borderId="17" xfId="65" applyFont="1" applyBorder="1" applyAlignment="1">
      <alignment horizontal="center"/>
      <protection/>
    </xf>
    <xf numFmtId="0" fontId="63" fillId="0" borderId="13" xfId="65" applyFont="1" applyBorder="1" applyAlignment="1">
      <alignment horizontal="center"/>
      <protection/>
    </xf>
    <xf numFmtId="0" fontId="63" fillId="0" borderId="12" xfId="65" applyFont="1" applyBorder="1" applyAlignment="1">
      <alignment horizontal="center"/>
      <protection/>
    </xf>
    <xf numFmtId="0" fontId="62" fillId="0" borderId="14" xfId="65" applyFont="1" applyBorder="1" applyAlignment="1">
      <alignment horizontal="center"/>
      <protection/>
    </xf>
    <xf numFmtId="0" fontId="23" fillId="0" borderId="26" xfId="65" applyFont="1" applyBorder="1" applyAlignment="1">
      <alignment horizontal="center"/>
      <protection/>
    </xf>
    <xf numFmtId="0" fontId="23" fillId="0" borderId="0" xfId="65" applyFont="1" applyBorder="1" applyAlignment="1">
      <alignment horizontal="center"/>
      <protection/>
    </xf>
    <xf numFmtId="0" fontId="23" fillId="0" borderId="14" xfId="65" applyFont="1" applyBorder="1" applyAlignment="1">
      <alignment horizontal="center"/>
      <protection/>
    </xf>
    <xf numFmtId="0" fontId="61" fillId="0" borderId="29" xfId="59" applyFont="1" applyBorder="1" applyAlignment="1">
      <alignment horizontal="center"/>
      <protection/>
    </xf>
    <xf numFmtId="0" fontId="22" fillId="0" borderId="17" xfId="59" applyFont="1" applyBorder="1" applyAlignment="1">
      <alignment horizontal="center" vertical="center"/>
      <protection/>
    </xf>
    <xf numFmtId="0" fontId="22" fillId="0" borderId="13" xfId="59" applyFont="1" applyBorder="1" applyAlignment="1">
      <alignment horizontal="center" vertical="center"/>
      <protection/>
    </xf>
    <xf numFmtId="0" fontId="22" fillId="0" borderId="12" xfId="59" applyFont="1" applyBorder="1" applyAlignment="1">
      <alignment horizontal="center" vertical="center"/>
      <protection/>
    </xf>
    <xf numFmtId="0" fontId="22" fillId="0" borderId="17" xfId="59" applyFont="1" applyBorder="1" applyAlignment="1">
      <alignment horizontal="center" vertical="center" wrapText="1"/>
      <protection/>
    </xf>
    <xf numFmtId="0" fontId="108" fillId="0" borderId="13" xfId="59" applyFont="1" applyBorder="1">
      <alignment/>
      <protection/>
    </xf>
    <xf numFmtId="0" fontId="108" fillId="0" borderId="12" xfId="59" applyFont="1" applyBorder="1">
      <alignment/>
      <protection/>
    </xf>
    <xf numFmtId="0" fontId="22" fillId="0" borderId="15" xfId="59" applyFont="1" applyBorder="1" applyAlignment="1">
      <alignment horizontal="center" vertical="center"/>
      <protection/>
    </xf>
    <xf numFmtId="0" fontId="22" fillId="0" borderId="16" xfId="59" applyFont="1" applyBorder="1" applyAlignment="1">
      <alignment horizontal="center" vertical="center"/>
      <protection/>
    </xf>
    <xf numFmtId="0" fontId="22" fillId="0" borderId="18" xfId="59" applyFont="1" applyBorder="1" applyAlignment="1">
      <alignment horizontal="center" vertical="center"/>
      <protection/>
    </xf>
    <xf numFmtId="16" fontId="24" fillId="0" borderId="15" xfId="59" applyNumberFormat="1" applyFont="1" applyBorder="1" applyAlignment="1">
      <alignment horizontal="center" vertical="center"/>
      <protection/>
    </xf>
    <xf numFmtId="16" fontId="24" fillId="0" borderId="16" xfId="59" applyNumberFormat="1" applyFont="1" applyBorder="1" applyAlignment="1">
      <alignment horizontal="center" vertical="center"/>
      <protection/>
    </xf>
    <xf numFmtId="16" fontId="24" fillId="0" borderId="18" xfId="59" applyNumberFormat="1" applyFont="1" applyBorder="1" applyAlignment="1">
      <alignment horizontal="center" vertical="center"/>
      <protection/>
    </xf>
    <xf numFmtId="0" fontId="24" fillId="0" borderId="15" xfId="59" applyFont="1" applyBorder="1" applyAlignment="1">
      <alignment horizontal="center" vertical="center"/>
      <protection/>
    </xf>
    <xf numFmtId="0" fontId="24" fillId="0" borderId="18" xfId="59" applyFont="1" applyBorder="1" applyAlignment="1">
      <alignment horizontal="center" vertical="center"/>
      <protection/>
    </xf>
    <xf numFmtId="0" fontId="93" fillId="0" borderId="20" xfId="59" applyBorder="1" applyAlignment="1">
      <alignment horizontal="center"/>
      <protection/>
    </xf>
    <xf numFmtId="0" fontId="93" fillId="0" borderId="19" xfId="59" applyBorder="1" applyAlignment="1">
      <alignment horizontal="center"/>
      <protection/>
    </xf>
    <xf numFmtId="0" fontId="93" fillId="0" borderId="17" xfId="59" applyBorder="1" applyAlignment="1">
      <alignment horizontal="center"/>
      <protection/>
    </xf>
    <xf numFmtId="0" fontId="22" fillId="0" borderId="14" xfId="59" applyFont="1" applyBorder="1" applyAlignment="1">
      <alignment horizontal="center" vertical="center"/>
      <protection/>
    </xf>
    <xf numFmtId="16" fontId="24" fillId="0" borderId="14" xfId="59" applyNumberFormat="1" applyFont="1" applyBorder="1" applyAlignment="1">
      <alignment horizontal="center" vertical="center"/>
      <protection/>
    </xf>
    <xf numFmtId="0" fontId="93" fillId="0" borderId="17" xfId="59" applyBorder="1" applyAlignment="1">
      <alignment horizontal="center" vertical="center"/>
      <protection/>
    </xf>
    <xf numFmtId="0" fontId="93" fillId="0" borderId="0" xfId="59" applyAlignment="1">
      <alignment horizontal="center"/>
      <protection/>
    </xf>
    <xf numFmtId="0" fontId="57" fillId="0" borderId="14" xfId="57" applyFont="1" applyBorder="1" applyAlignment="1">
      <alignment horizontal="center"/>
      <protection/>
    </xf>
    <xf numFmtId="0" fontId="21" fillId="36" borderId="24" xfId="57" applyFont="1" applyFill="1" applyBorder="1" applyAlignment="1">
      <alignment horizontal="left" vertical="top" wrapText="1"/>
      <protection/>
    </xf>
    <xf numFmtId="0" fontId="21" fillId="36" borderId="12" xfId="57" applyFont="1" applyFill="1" applyBorder="1" applyAlignment="1">
      <alignment horizontal="left" vertical="top" wrapText="1"/>
      <protection/>
    </xf>
    <xf numFmtId="0" fontId="29" fillId="36" borderId="0" xfId="57" applyFont="1" applyFill="1" applyBorder="1" applyAlignment="1">
      <alignment horizontal="center"/>
      <protection/>
    </xf>
    <xf numFmtId="0" fontId="29" fillId="36" borderId="0" xfId="57" applyFont="1" applyFill="1" applyBorder="1" applyAlignment="1">
      <alignment horizontal="center" vertical="top" wrapText="1"/>
      <protection/>
    </xf>
    <xf numFmtId="0" fontId="21" fillId="36" borderId="37" xfId="57" applyFont="1" applyFill="1" applyBorder="1" applyAlignment="1">
      <alignment horizontal="center"/>
      <protection/>
    </xf>
    <xf numFmtId="0" fontId="21" fillId="36" borderId="38" xfId="57" applyFont="1" applyFill="1" applyBorder="1" applyAlignment="1">
      <alignment horizontal="center"/>
      <protection/>
    </xf>
    <xf numFmtId="0" fontId="29" fillId="36" borderId="39" xfId="57" applyFont="1" applyFill="1" applyBorder="1" applyAlignment="1">
      <alignment horizontal="center"/>
      <protection/>
    </xf>
    <xf numFmtId="0" fontId="29" fillId="36" borderId="40" xfId="57" applyFont="1" applyFill="1" applyBorder="1" applyAlignment="1">
      <alignment horizontal="center"/>
      <protection/>
    </xf>
    <xf numFmtId="0" fontId="21" fillId="36" borderId="15" xfId="57" applyFont="1" applyFill="1" applyBorder="1" applyAlignment="1">
      <alignment horizontal="center" vertical="top" wrapText="1"/>
      <protection/>
    </xf>
    <xf numFmtId="0" fontId="21" fillId="36" borderId="18" xfId="57" applyFont="1" applyFill="1" applyBorder="1" applyAlignment="1">
      <alignment horizontal="center" vertical="top" wrapText="1"/>
      <protection/>
    </xf>
    <xf numFmtId="0" fontId="32" fillId="0" borderId="24" xfId="57" applyFont="1" applyBorder="1" applyAlignment="1">
      <alignment horizontal="left" vertical="top" wrapText="1"/>
      <protection/>
    </xf>
    <xf numFmtId="0" fontId="32" fillId="0" borderId="12" xfId="57" applyFont="1" applyBorder="1" applyAlignment="1">
      <alignment horizontal="left" vertical="top" wrapText="1"/>
      <protection/>
    </xf>
    <xf numFmtId="0" fontId="29" fillId="0" borderId="0" xfId="57" applyFont="1" applyBorder="1" applyAlignment="1">
      <alignment horizontal="center" vertical="top" wrapText="1"/>
      <protection/>
    </xf>
    <xf numFmtId="0" fontId="32" fillId="0" borderId="37" xfId="57" applyFont="1" applyBorder="1" applyAlignment="1">
      <alignment horizontal="center"/>
      <protection/>
    </xf>
    <xf numFmtId="0" fontId="32" fillId="0" borderId="38" xfId="57" applyFont="1" applyBorder="1" applyAlignment="1">
      <alignment horizontal="center"/>
      <protection/>
    </xf>
    <xf numFmtId="0" fontId="33" fillId="0" borderId="39" xfId="57" applyFont="1" applyBorder="1" applyAlignment="1">
      <alignment horizontal="center"/>
      <protection/>
    </xf>
    <xf numFmtId="0" fontId="33" fillId="0" borderId="40" xfId="57" applyFont="1" applyBorder="1" applyAlignment="1">
      <alignment horizontal="center"/>
      <protection/>
    </xf>
    <xf numFmtId="0" fontId="29" fillId="0" borderId="17" xfId="57" applyFont="1" applyBorder="1" applyAlignment="1">
      <alignment horizontal="center" vertical="center" wrapText="1"/>
      <protection/>
    </xf>
    <xf numFmtId="0" fontId="29" fillId="0" borderId="12" xfId="57" applyFont="1" applyBorder="1" applyAlignment="1">
      <alignment horizontal="center" vertical="center" wrapText="1"/>
      <protection/>
    </xf>
    <xf numFmtId="0" fontId="29" fillId="37" borderId="0" xfId="57" applyFont="1" applyFill="1" applyAlignment="1">
      <alignment horizontal="right"/>
      <protection/>
    </xf>
    <xf numFmtId="0" fontId="30" fillId="0" borderId="14" xfId="57" applyFont="1" applyBorder="1" applyAlignment="1">
      <alignment horizontal="center"/>
      <protection/>
    </xf>
    <xf numFmtId="0" fontId="21" fillId="0" borderId="0" xfId="57" applyFont="1" applyAlignment="1">
      <alignment horizontal="left" vertical="top"/>
      <protection/>
    </xf>
    <xf numFmtId="0" fontId="21" fillId="0" borderId="0" xfId="57" applyFont="1" applyAlignment="1">
      <alignment horizontal="left"/>
      <protection/>
    </xf>
    <xf numFmtId="0" fontId="21" fillId="0" borderId="0" xfId="57" applyAlignment="1">
      <alignment horizontal="left"/>
      <protection/>
    </xf>
    <xf numFmtId="0" fontId="28" fillId="0" borderId="29" xfId="59" applyFont="1" applyBorder="1" applyAlignment="1">
      <alignment horizontal="center"/>
      <protection/>
    </xf>
    <xf numFmtId="0" fontId="93" fillId="0" borderId="13" xfId="59" applyBorder="1">
      <alignment/>
      <protection/>
    </xf>
    <xf numFmtId="0" fontId="93" fillId="0" borderId="12" xfId="59" applyBorder="1">
      <alignment/>
      <protection/>
    </xf>
    <xf numFmtId="0" fontId="0" fillId="0" borderId="0" xfId="0"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Fill="1" applyBorder="1" applyAlignment="1">
      <alignment horizontal="center" vertical="top" wrapText="1"/>
    </xf>
    <xf numFmtId="0" fontId="3" fillId="0" borderId="0" xfId="0" applyFont="1" applyFill="1" applyBorder="1" applyAlignment="1">
      <alignment horizontal="left" vertical="top" wrapText="1" indent="1"/>
    </xf>
    <xf numFmtId="0" fontId="2" fillId="0" borderId="0" xfId="0" applyFont="1" applyFill="1" applyBorder="1" applyAlignment="1">
      <alignment horizontal="left" wrapText="1" indent="40"/>
    </xf>
    <xf numFmtId="0" fontId="0" fillId="0" borderId="0" xfId="0" applyFill="1" applyBorder="1" applyAlignment="1">
      <alignment horizontal="right" vertical="top" wrapText="1" indent="4"/>
    </xf>
    <xf numFmtId="0" fontId="0" fillId="0" borderId="0" xfId="0" applyFill="1" applyBorder="1" applyAlignment="1">
      <alignment horizontal="left" vertical="center" wrapText="1" indent="3"/>
    </xf>
    <xf numFmtId="0" fontId="2" fillId="0" borderId="0" xfId="0" applyFont="1" applyFill="1" applyBorder="1" applyAlignment="1">
      <alignment horizontal="left" vertical="top" wrapText="1" indent="9"/>
    </xf>
    <xf numFmtId="0" fontId="2" fillId="0" borderId="0" xfId="0" applyFont="1" applyFill="1" applyBorder="1" applyAlignment="1">
      <alignment horizontal="left" vertical="center" wrapText="1" indent="24"/>
    </xf>
    <xf numFmtId="0" fontId="0" fillId="0" borderId="11" xfId="0" applyFill="1" applyBorder="1" applyAlignment="1">
      <alignment horizontal="left" vertical="top" wrapText="1" indent="1"/>
    </xf>
    <xf numFmtId="0" fontId="0" fillId="0" borderId="31" xfId="0" applyFill="1" applyBorder="1" applyAlignment="1">
      <alignment horizontal="left" vertical="top" wrapText="1" indent="1"/>
    </xf>
    <xf numFmtId="0" fontId="2" fillId="0" borderId="0" xfId="0" applyFont="1" applyFill="1" applyBorder="1" applyAlignment="1">
      <alignment horizontal="left" wrapText="1" indent="1"/>
    </xf>
    <xf numFmtId="0" fontId="2" fillId="0" borderId="11" xfId="0" applyFont="1" applyFill="1" applyBorder="1" applyAlignment="1">
      <alignment horizontal="left" vertical="top" wrapText="1" indent="5"/>
    </xf>
    <xf numFmtId="0" fontId="2" fillId="0" borderId="30" xfId="0" applyFont="1" applyFill="1" applyBorder="1" applyAlignment="1">
      <alignment horizontal="left" vertical="top" wrapText="1" indent="5"/>
    </xf>
    <xf numFmtId="0" fontId="2" fillId="0" borderId="31" xfId="0" applyFont="1" applyFill="1" applyBorder="1" applyAlignment="1">
      <alignment horizontal="left" vertical="top" wrapText="1" indent="5"/>
    </xf>
    <xf numFmtId="0" fontId="0" fillId="0" borderId="0" xfId="0" applyFill="1" applyBorder="1" applyAlignment="1">
      <alignment horizontal="right" vertical="top" wrapText="1" indent="2"/>
    </xf>
    <xf numFmtId="0" fontId="4" fillId="0" borderId="11"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2" fillId="0" borderId="0" xfId="0" applyFont="1" applyFill="1" applyBorder="1" applyAlignment="1">
      <alignment horizontal="left" vertical="center" wrapText="1" indent="39"/>
    </xf>
    <xf numFmtId="0" fontId="0" fillId="0" borderId="0" xfId="0" applyFill="1" applyBorder="1" applyAlignment="1">
      <alignment horizontal="left" vertical="top" wrapText="1" indent="13"/>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2" fillId="0" borderId="11" xfId="0" applyFont="1" applyFill="1" applyBorder="1" applyAlignment="1">
      <alignment horizontal="left" vertical="top" wrapText="1" indent="2"/>
    </xf>
    <xf numFmtId="0" fontId="2" fillId="0" borderId="31" xfId="0" applyFont="1" applyFill="1" applyBorder="1" applyAlignment="1">
      <alignment horizontal="left" vertical="top" wrapText="1" indent="2"/>
    </xf>
    <xf numFmtId="0" fontId="2" fillId="0" borderId="30" xfId="0" applyFont="1" applyFill="1" applyBorder="1" applyAlignment="1">
      <alignment horizontal="left" vertical="top" wrapText="1" indent="2"/>
    </xf>
    <xf numFmtId="0" fontId="0" fillId="0" borderId="11" xfId="0" applyFill="1" applyBorder="1" applyAlignment="1">
      <alignment horizontal="left" vertical="top" wrapText="1" indent="5"/>
    </xf>
    <xf numFmtId="0" fontId="0" fillId="0" borderId="31" xfId="0" applyFill="1" applyBorder="1" applyAlignment="1">
      <alignment horizontal="left" vertical="top" wrapText="1" indent="5"/>
    </xf>
    <xf numFmtId="0" fontId="0" fillId="0" borderId="11" xfId="0" applyFill="1" applyBorder="1" applyAlignment="1">
      <alignment horizontal="left" vertical="top" wrapText="1" indent="4"/>
    </xf>
    <xf numFmtId="0" fontId="0" fillId="0" borderId="30" xfId="0" applyFill="1" applyBorder="1" applyAlignment="1">
      <alignment horizontal="left" vertical="top" wrapText="1" indent="4"/>
    </xf>
    <xf numFmtId="0" fontId="0" fillId="0" borderId="31" xfId="0" applyFill="1" applyBorder="1" applyAlignment="1">
      <alignment horizontal="left" vertical="top" wrapText="1" indent="4"/>
    </xf>
    <xf numFmtId="0" fontId="0" fillId="0" borderId="11" xfId="0" applyFill="1" applyBorder="1" applyAlignment="1">
      <alignment horizontal="left" vertical="top" wrapText="1" indent="2"/>
    </xf>
    <xf numFmtId="0" fontId="0" fillId="0" borderId="31" xfId="0" applyFill="1" applyBorder="1" applyAlignment="1">
      <alignment horizontal="left" vertical="top" wrapText="1" indent="2"/>
    </xf>
    <xf numFmtId="0" fontId="2" fillId="0" borderId="0" xfId="0" applyFont="1" applyFill="1" applyBorder="1" applyAlignment="1">
      <alignment horizontal="right" vertical="top" wrapText="1" indent="2"/>
    </xf>
    <xf numFmtId="0" fontId="0" fillId="0" borderId="0" xfId="0" applyFill="1" applyBorder="1" applyAlignment="1">
      <alignment horizontal="left" vertical="center" wrapText="1" indent="1"/>
    </xf>
    <xf numFmtId="0" fontId="2" fillId="0" borderId="0" xfId="0" applyFont="1" applyFill="1" applyBorder="1" applyAlignment="1">
      <alignment horizontal="left" vertical="center" wrapText="1" indent="2"/>
    </xf>
    <xf numFmtId="0" fontId="0" fillId="0" borderId="0" xfId="0" applyFill="1" applyBorder="1" applyAlignment="1">
      <alignment horizontal="left" vertical="top" wrapText="1" indent="10"/>
    </xf>
    <xf numFmtId="0" fontId="4" fillId="0" borderId="0" xfId="0" applyFont="1" applyFill="1" applyBorder="1" applyAlignment="1">
      <alignment horizontal="right" vertical="top" wrapText="1" indent="2"/>
    </xf>
    <xf numFmtId="0" fontId="4" fillId="0" borderId="11" xfId="0" applyFont="1" applyFill="1" applyBorder="1" applyAlignment="1">
      <alignment horizontal="left" vertical="top" wrapText="1" indent="10"/>
    </xf>
    <xf numFmtId="0" fontId="4" fillId="0" borderId="30" xfId="0" applyFont="1" applyFill="1" applyBorder="1" applyAlignment="1">
      <alignment horizontal="left" vertical="top" wrapText="1" indent="10"/>
    </xf>
    <xf numFmtId="0" fontId="4" fillId="0" borderId="31" xfId="0" applyFont="1" applyFill="1" applyBorder="1" applyAlignment="1">
      <alignment horizontal="left" vertical="top" wrapText="1" indent="10"/>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0" fillId="0" borderId="41" xfId="0" applyFill="1" applyBorder="1" applyAlignment="1">
      <alignment horizontal="center" vertical="top" wrapText="1"/>
    </xf>
    <xf numFmtId="0" fontId="0" fillId="0" borderId="42" xfId="0" applyFill="1" applyBorder="1" applyAlignment="1">
      <alignment horizontal="center" vertical="top" wrapText="1"/>
    </xf>
    <xf numFmtId="0" fontId="0" fillId="0" borderId="43" xfId="0" applyFill="1" applyBorder="1" applyAlignment="1">
      <alignment horizontal="center" vertical="top" wrapText="1"/>
    </xf>
    <xf numFmtId="0" fontId="0" fillId="0" borderId="44" xfId="0" applyFill="1" applyBorder="1" applyAlignment="1">
      <alignment horizontal="center" vertical="top" wrapText="1"/>
    </xf>
    <xf numFmtId="0" fontId="0" fillId="0" borderId="0" xfId="0" applyFill="1" applyBorder="1" applyAlignment="1">
      <alignment horizontal="left" vertical="top" wrapText="1" indent="4"/>
    </xf>
    <xf numFmtId="0" fontId="2" fillId="0" borderId="0" xfId="0" applyFont="1" applyFill="1" applyBorder="1" applyAlignment="1">
      <alignment horizontal="left" vertical="center" wrapText="1" indent="28"/>
    </xf>
    <xf numFmtId="0" fontId="4" fillId="0" borderId="34" xfId="0" applyFont="1" applyFill="1" applyBorder="1" applyAlignment="1">
      <alignment horizontal="left" vertical="top" wrapText="1" indent="1"/>
    </xf>
    <xf numFmtId="0" fontId="4" fillId="0" borderId="35" xfId="0" applyFont="1" applyFill="1" applyBorder="1" applyAlignment="1">
      <alignment horizontal="left" vertical="top" wrapText="1" indent="1"/>
    </xf>
    <xf numFmtId="0" fontId="2" fillId="0" borderId="0" xfId="0" applyFont="1" applyFill="1" applyBorder="1" applyAlignment="1">
      <alignment horizontal="left" vertical="center" wrapText="1" indent="5"/>
    </xf>
    <xf numFmtId="0" fontId="0" fillId="0" borderId="0" xfId="0" applyFill="1" applyBorder="1" applyAlignment="1">
      <alignment horizontal="left" vertical="top" wrapText="1"/>
    </xf>
    <xf numFmtId="0" fontId="2" fillId="0" borderId="0" xfId="0" applyFont="1" applyFill="1" applyBorder="1" applyAlignment="1">
      <alignment horizontal="left" vertical="center" wrapText="1" indent="26"/>
    </xf>
    <xf numFmtId="0" fontId="0" fillId="0" borderId="0" xfId="0" applyFill="1" applyBorder="1" applyAlignment="1">
      <alignment horizontal="right" vertical="top" wrapText="1" indent="1"/>
    </xf>
    <xf numFmtId="0" fontId="3" fillId="0" borderId="0" xfId="0" applyFont="1" applyFill="1" applyBorder="1" applyAlignment="1">
      <alignment horizontal="right" vertical="top" wrapText="1" indent="1"/>
    </xf>
    <xf numFmtId="0" fontId="0" fillId="0" borderId="0" xfId="0" applyFill="1" applyBorder="1" applyAlignment="1">
      <alignment horizontal="left" vertical="top" wrapText="1" indent="2"/>
    </xf>
    <xf numFmtId="0" fontId="2" fillId="0" borderId="0" xfId="0" applyFont="1" applyFill="1" applyBorder="1" applyAlignment="1">
      <alignment horizontal="right" vertical="top" wrapText="1" indent="5"/>
    </xf>
    <xf numFmtId="0" fontId="0" fillId="0" borderId="0" xfId="0" applyFill="1" applyBorder="1" applyAlignment="1">
      <alignment horizontal="right" vertical="top" wrapText="1" indent="5"/>
    </xf>
    <xf numFmtId="0" fontId="3" fillId="0" borderId="0" xfId="0" applyFont="1" applyFill="1" applyBorder="1" applyAlignment="1">
      <alignment horizontal="right" vertical="top" wrapText="1" indent="5"/>
    </xf>
    <xf numFmtId="0" fontId="0" fillId="0" borderId="0" xfId="0" applyFill="1" applyBorder="1" applyAlignment="1">
      <alignment horizontal="left" vertical="center" wrapText="1" indent="2"/>
    </xf>
    <xf numFmtId="0" fontId="2" fillId="0" borderId="0" xfId="0" applyFont="1" applyFill="1" applyBorder="1" applyAlignment="1">
      <alignment horizontal="left" vertical="top"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1" xfId="0" applyFont="1" applyFill="1" applyBorder="1" applyAlignment="1">
      <alignment horizontal="left" vertical="top" wrapText="1" indent="7"/>
    </xf>
    <xf numFmtId="0" fontId="2" fillId="0" borderId="30" xfId="0" applyFont="1" applyFill="1" applyBorder="1" applyAlignment="1">
      <alignment horizontal="left" vertical="top" wrapText="1" indent="7"/>
    </xf>
    <xf numFmtId="0" fontId="2" fillId="0" borderId="31" xfId="0" applyFont="1" applyFill="1" applyBorder="1" applyAlignment="1">
      <alignment horizontal="left" vertical="top" wrapText="1" indent="7"/>
    </xf>
    <xf numFmtId="0" fontId="0" fillId="0" borderId="11" xfId="0" applyFill="1" applyBorder="1" applyAlignment="1">
      <alignment horizontal="center" vertical="top" wrapText="1"/>
    </xf>
    <xf numFmtId="0" fontId="0" fillId="0" borderId="31" xfId="0"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1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0" fillId="0" borderId="0" xfId="0" applyFill="1" applyBorder="1" applyAlignment="1">
      <alignment horizontal="left" vertical="top" wrapText="1" indent="12"/>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1" xfId="0" applyFont="1" applyFill="1" applyBorder="1" applyAlignment="1">
      <alignment horizontal="left" vertical="top" wrapText="1" indent="6"/>
    </xf>
    <xf numFmtId="0" fontId="2" fillId="0" borderId="30" xfId="0" applyFont="1" applyFill="1" applyBorder="1" applyAlignment="1">
      <alignment horizontal="left" vertical="top" wrapText="1" indent="6"/>
    </xf>
    <xf numFmtId="0" fontId="2" fillId="0" borderId="31" xfId="0" applyFont="1" applyFill="1" applyBorder="1" applyAlignment="1">
      <alignment horizontal="left" vertical="top" wrapText="1" indent="6"/>
    </xf>
    <xf numFmtId="0" fontId="7" fillId="0" borderId="11" xfId="0" applyFont="1" applyFill="1" applyBorder="1" applyAlignment="1">
      <alignment horizontal="left" vertical="top" wrapText="1" indent="2"/>
    </xf>
    <xf numFmtId="0" fontId="7" fillId="0" borderId="31" xfId="0" applyFont="1" applyFill="1" applyBorder="1" applyAlignment="1">
      <alignment horizontal="left" vertical="top" wrapText="1" indent="2"/>
    </xf>
    <xf numFmtId="0" fontId="2" fillId="0" borderId="11" xfId="0" applyFont="1" applyFill="1" applyBorder="1" applyAlignment="1">
      <alignment horizontal="left" vertical="top" wrapText="1" indent="4"/>
    </xf>
    <xf numFmtId="0" fontId="2" fillId="0" borderId="31" xfId="0" applyFont="1" applyFill="1" applyBorder="1" applyAlignment="1">
      <alignment horizontal="left" vertical="top" wrapText="1" indent="4"/>
    </xf>
    <xf numFmtId="0" fontId="2" fillId="0" borderId="30" xfId="0" applyFont="1" applyFill="1" applyBorder="1" applyAlignment="1">
      <alignment horizontal="left" vertical="top" wrapText="1" indent="4"/>
    </xf>
    <xf numFmtId="0" fontId="0" fillId="0" borderId="30" xfId="0" applyFill="1" applyBorder="1" applyAlignment="1">
      <alignment horizontal="center" vertical="top" wrapText="1"/>
    </xf>
    <xf numFmtId="0" fontId="0" fillId="0" borderId="30" xfId="0" applyFill="1" applyBorder="1" applyAlignment="1">
      <alignment horizontal="left" vertical="top" wrapText="1" indent="1"/>
    </xf>
    <xf numFmtId="0" fontId="5" fillId="0" borderId="11" xfId="0" applyFont="1" applyFill="1" applyBorder="1" applyAlignment="1">
      <alignment horizontal="left" vertical="top" wrapText="1"/>
    </xf>
    <xf numFmtId="0" fontId="5" fillId="0" borderId="31" xfId="0" applyFont="1" applyFill="1" applyBorder="1" applyAlignment="1">
      <alignment horizontal="left" vertical="top" wrapText="1"/>
    </xf>
    <xf numFmtId="0" fontId="0" fillId="0" borderId="0" xfId="0" applyFill="1" applyBorder="1" applyAlignment="1">
      <alignment horizontal="left" vertical="top" wrapText="1" indent="14"/>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2"/>
    </xf>
    <xf numFmtId="0" fontId="4" fillId="0" borderId="35" xfId="0" applyFont="1" applyFill="1" applyBorder="1" applyAlignment="1">
      <alignment horizontal="left" vertical="center" wrapText="1" indent="2"/>
    </xf>
    <xf numFmtId="0" fontId="4" fillId="0" borderId="11" xfId="0" applyFont="1" applyFill="1" applyBorder="1" applyAlignment="1">
      <alignment horizontal="left" vertical="top" wrapText="1" indent="2"/>
    </xf>
    <xf numFmtId="0" fontId="4" fillId="0" borderId="31" xfId="0" applyFont="1" applyFill="1" applyBorder="1" applyAlignment="1">
      <alignment horizontal="left" vertical="top" wrapText="1" indent="2"/>
    </xf>
    <xf numFmtId="0" fontId="2" fillId="0" borderId="0" xfId="0" applyFont="1" applyFill="1" applyBorder="1" applyAlignment="1">
      <alignment horizontal="left" vertical="center" wrapText="1" indent="8"/>
    </xf>
    <xf numFmtId="0" fontId="0" fillId="0" borderId="0" xfId="0" applyFill="1" applyBorder="1" applyAlignment="1">
      <alignment horizontal="left" vertical="top" wrapText="1" indent="16"/>
    </xf>
    <xf numFmtId="0" fontId="2" fillId="0" borderId="0" xfId="0" applyFont="1" applyFill="1" applyBorder="1" applyAlignment="1">
      <alignment horizontal="left" wrapText="1" indent="44"/>
    </xf>
    <xf numFmtId="0" fontId="0" fillId="0" borderId="0" xfId="0" applyFill="1" applyBorder="1" applyAlignment="1">
      <alignment horizontal="left" vertical="top" wrapText="1" indent="17"/>
    </xf>
    <xf numFmtId="0" fontId="0" fillId="0" borderId="33" xfId="0" applyFill="1" applyBorder="1" applyAlignment="1">
      <alignment horizontal="left" wrapText="1"/>
    </xf>
    <xf numFmtId="0" fontId="0" fillId="0" borderId="42" xfId="0" applyFill="1" applyBorder="1" applyAlignment="1">
      <alignment horizontal="left" wrapText="1"/>
    </xf>
    <xf numFmtId="0" fontId="0" fillId="0" borderId="32" xfId="0" applyFill="1" applyBorder="1" applyAlignment="1">
      <alignment horizontal="left" wrapText="1"/>
    </xf>
    <xf numFmtId="0" fontId="0" fillId="0" borderId="44"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2" fillId="0" borderId="34" xfId="0" applyFont="1" applyFill="1" applyBorder="1" applyAlignment="1">
      <alignment horizontal="left" vertical="center" wrapText="1" indent="8"/>
    </xf>
    <xf numFmtId="0" fontId="2" fillId="0" borderId="35" xfId="0" applyFont="1" applyFill="1" applyBorder="1" applyAlignment="1">
      <alignment horizontal="left" vertical="center" wrapText="1" indent="8"/>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1"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0" xfId="0" applyFont="1" applyFill="1" applyBorder="1" applyAlignment="1">
      <alignment horizontal="left" vertical="top" wrapText="1" indent="10"/>
    </xf>
    <xf numFmtId="0" fontId="9" fillId="0" borderId="0" xfId="0" applyFont="1" applyFill="1" applyBorder="1" applyAlignment="1">
      <alignment horizontal="left" vertical="top" wrapText="1" indent="2"/>
    </xf>
    <xf numFmtId="0" fontId="3" fillId="0" borderId="0" xfId="0" applyFont="1" applyFill="1" applyBorder="1" applyAlignment="1">
      <alignment horizontal="left" vertical="top" wrapText="1" indent="5"/>
    </xf>
    <xf numFmtId="0" fontId="0" fillId="0" borderId="0" xfId="0" applyFill="1" applyBorder="1" applyAlignment="1">
      <alignment horizontal="left" vertical="top" wrapText="1" indent="5"/>
    </xf>
    <xf numFmtId="1" fontId="124" fillId="0" borderId="0" xfId="0" applyNumberFormat="1" applyFont="1" applyFill="1" applyBorder="1" applyAlignment="1">
      <alignment horizontal="center" vertical="top" shrinkToFit="1"/>
    </xf>
    <xf numFmtId="0" fontId="2" fillId="0" borderId="0" xfId="0" applyFont="1" applyFill="1" applyBorder="1" applyAlignment="1">
      <alignment horizontal="left" vertical="top" wrapText="1" indent="11"/>
    </xf>
    <xf numFmtId="0" fontId="3" fillId="0" borderId="0" xfId="0" applyFont="1" applyFill="1" applyBorder="1" applyAlignment="1">
      <alignment horizontal="right" vertical="top" wrapText="1" indent="2"/>
    </xf>
    <xf numFmtId="0" fontId="2"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5"/>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11" xfId="0" applyFill="1" applyBorder="1" applyAlignment="1">
      <alignment horizontal="left" vertical="top" wrapText="1" indent="6"/>
    </xf>
    <xf numFmtId="0" fontId="0" fillId="0" borderId="31" xfId="0" applyFill="1" applyBorder="1" applyAlignment="1">
      <alignment horizontal="left" vertical="top" wrapText="1" indent="6"/>
    </xf>
    <xf numFmtId="0" fontId="2" fillId="0" borderId="41" xfId="0" applyFont="1" applyFill="1" applyBorder="1" applyAlignment="1">
      <alignment horizontal="left" vertical="top" wrapText="1" indent="1"/>
    </xf>
    <xf numFmtId="0" fontId="2" fillId="0" borderId="42" xfId="0" applyFont="1" applyFill="1" applyBorder="1" applyAlignment="1">
      <alignment horizontal="left" vertical="top" wrapText="1" indent="1"/>
    </xf>
    <xf numFmtId="0" fontId="2" fillId="0" borderId="43" xfId="0" applyFont="1" applyFill="1" applyBorder="1" applyAlignment="1">
      <alignment horizontal="left" vertical="top" wrapText="1" indent="1"/>
    </xf>
    <xf numFmtId="0" fontId="2" fillId="0" borderId="44" xfId="0" applyFont="1" applyFill="1" applyBorder="1" applyAlignment="1">
      <alignment horizontal="left" vertical="top" wrapText="1" inden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0" xfId="0" applyFont="1" applyFill="1" applyBorder="1" applyAlignment="1">
      <alignment horizontal="right" vertical="top" wrapText="1" indent="1"/>
    </xf>
    <xf numFmtId="0" fontId="2" fillId="0" borderId="0" xfId="0" applyFont="1" applyFill="1" applyBorder="1" applyAlignment="1">
      <alignment horizontal="left" wrapText="1" indent="14"/>
    </xf>
    <xf numFmtId="0" fontId="2" fillId="0" borderId="0" xfId="0" applyFont="1" applyFill="1" applyBorder="1" applyAlignment="1">
      <alignment horizontal="left" vertical="top" wrapText="1" indent="2"/>
    </xf>
    <xf numFmtId="0" fontId="3" fillId="0" borderId="0" xfId="0" applyFont="1" applyFill="1" applyBorder="1" applyAlignment="1">
      <alignment horizontal="left" wrapText="1" indent="29"/>
    </xf>
    <xf numFmtId="0" fontId="2" fillId="0" borderId="34" xfId="0" applyFont="1" applyFill="1" applyBorder="1" applyAlignment="1">
      <alignment horizontal="left" vertical="center" wrapText="1" indent="3"/>
    </xf>
    <xf numFmtId="0" fontId="2" fillId="0" borderId="35" xfId="0" applyFont="1" applyFill="1" applyBorder="1" applyAlignment="1">
      <alignment horizontal="left" vertical="center" wrapText="1" indent="3"/>
    </xf>
    <xf numFmtId="0" fontId="2" fillId="0" borderId="0" xfId="0" applyFont="1" applyFill="1" applyBorder="1" applyAlignment="1">
      <alignment horizontal="left" vertical="center" wrapText="1" indent="32"/>
    </xf>
    <xf numFmtId="0" fontId="2" fillId="0" borderId="0" xfId="0" applyFont="1" applyFill="1" applyBorder="1" applyAlignment="1">
      <alignment horizontal="left" vertical="top" wrapText="1" indent="12"/>
    </xf>
    <xf numFmtId="0" fontId="0" fillId="0" borderId="0" xfId="0" applyFill="1" applyBorder="1" applyAlignment="1">
      <alignment horizontal="left" vertical="center" wrapText="1" indent="6"/>
    </xf>
    <xf numFmtId="0" fontId="2" fillId="0" borderId="11" xfId="0" applyFont="1" applyFill="1" applyBorder="1" applyAlignment="1">
      <alignment horizontal="left" vertical="center" wrapText="1" indent="2"/>
    </xf>
    <xf numFmtId="0" fontId="2" fillId="0" borderId="31" xfId="0" applyFont="1" applyFill="1" applyBorder="1" applyAlignment="1">
      <alignment horizontal="left" vertical="center" wrapText="1" indent="2"/>
    </xf>
    <xf numFmtId="0" fontId="2" fillId="0" borderId="0" xfId="0" applyFont="1" applyFill="1" applyBorder="1" applyAlignment="1">
      <alignment horizontal="left" wrapText="1" indent="4"/>
    </xf>
    <xf numFmtId="0" fontId="3" fillId="0" borderId="0" xfId="0" applyFont="1" applyFill="1" applyBorder="1" applyAlignment="1">
      <alignment horizontal="right" vertical="top" wrapText="1" indent="11"/>
    </xf>
    <xf numFmtId="0" fontId="0" fillId="0" borderId="0" xfId="0" applyFill="1" applyBorder="1" applyAlignment="1">
      <alignment horizontal="center" wrapText="1"/>
    </xf>
    <xf numFmtId="0" fontId="3" fillId="0" borderId="0" xfId="0" applyFont="1" applyFill="1" applyBorder="1" applyAlignment="1">
      <alignment horizontal="right" vertical="top" wrapText="1" indent="10"/>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1" xfId="0" applyFont="1" applyFill="1" applyBorder="1" applyAlignment="1">
      <alignment horizontal="left" vertical="top" wrapText="1" indent="10"/>
    </xf>
    <xf numFmtId="0" fontId="2" fillId="0" borderId="30" xfId="0" applyFont="1" applyFill="1" applyBorder="1" applyAlignment="1">
      <alignment horizontal="left" vertical="top" wrapText="1" indent="10"/>
    </xf>
    <xf numFmtId="0" fontId="2" fillId="0" borderId="31" xfId="0" applyFont="1" applyFill="1" applyBorder="1" applyAlignment="1">
      <alignment horizontal="left" vertical="top" wrapText="1" indent="10"/>
    </xf>
    <xf numFmtId="0" fontId="3" fillId="0" borderId="0" xfId="0" applyFont="1" applyFill="1" applyBorder="1" applyAlignment="1">
      <alignment horizontal="right" vertical="top" wrapText="1" indent="9"/>
    </xf>
    <xf numFmtId="0" fontId="2" fillId="0" borderId="0" xfId="0" applyFont="1" applyFill="1" applyBorder="1" applyAlignment="1">
      <alignment horizontal="right" vertical="top" wrapText="1" indent="12"/>
    </xf>
    <xf numFmtId="0" fontId="2" fillId="0" borderId="0" xfId="0" applyFont="1" applyFill="1" applyBorder="1" applyAlignment="1">
      <alignment horizontal="left" vertical="top" wrapText="1" indent="5"/>
    </xf>
    <xf numFmtId="0" fontId="2" fillId="0" borderId="0" xfId="0" applyFont="1" applyFill="1" applyBorder="1" applyAlignment="1">
      <alignment horizontal="left" vertical="top" wrapText="1" indent="13"/>
    </xf>
    <xf numFmtId="0" fontId="3" fillId="0" borderId="0" xfId="0" applyFont="1" applyFill="1" applyBorder="1" applyAlignment="1">
      <alignment horizontal="right" vertical="top" wrapText="1" indent="14"/>
    </xf>
    <xf numFmtId="0" fontId="2" fillId="0" borderId="0" xfId="0" applyFont="1" applyFill="1" applyBorder="1" applyAlignment="1">
      <alignment horizontal="left" vertical="center" wrapText="1" indent="20"/>
    </xf>
    <xf numFmtId="0" fontId="2" fillId="0" borderId="0" xfId="0" applyFont="1" applyFill="1" applyBorder="1" applyAlignment="1">
      <alignment horizontal="left" vertical="center" wrapText="1" indent="10"/>
    </xf>
    <xf numFmtId="0" fontId="3" fillId="0" borderId="0" xfId="0" applyFont="1" applyFill="1" applyBorder="1" applyAlignment="1">
      <alignment horizontal="right" vertical="top" wrapText="1" indent="6"/>
    </xf>
    <xf numFmtId="0" fontId="2" fillId="0" borderId="0" xfId="0" applyFont="1" applyFill="1" applyBorder="1" applyAlignment="1">
      <alignment horizontal="right" vertical="top" wrapText="1" indent="7"/>
    </xf>
    <xf numFmtId="0" fontId="2" fillId="0" borderId="0" xfId="0" applyFont="1" applyFill="1" applyBorder="1" applyAlignment="1">
      <alignment horizontal="left" vertical="top" wrapText="1" indent="4"/>
    </xf>
    <xf numFmtId="0" fontId="3" fillId="0" borderId="0" xfId="0" applyFont="1" applyFill="1" applyBorder="1" applyAlignment="1">
      <alignment horizontal="left" vertical="top" wrapText="1" indent="47"/>
    </xf>
    <xf numFmtId="0" fontId="2" fillId="0" borderId="0" xfId="0" applyFont="1" applyFill="1" applyBorder="1" applyAlignment="1">
      <alignment horizontal="left" vertical="center" wrapText="1" indent="27"/>
    </xf>
    <xf numFmtId="0" fontId="2" fillId="0" borderId="0" xfId="0" applyFont="1" applyFill="1" applyBorder="1" applyAlignment="1">
      <alignment horizontal="left" wrapText="1" indent="27"/>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Revised Rama Tariff 04-09_aftr Cerc AddCap ord 30.7.8_No mtc spares on addcap_5.8.8"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3 2" xfId="60"/>
    <cellStyle name="Normal 2 3 3" xfId="61"/>
    <cellStyle name="Normal 2 3 4" xfId="62"/>
    <cellStyle name="Normal 3" xfId="63"/>
    <cellStyle name="Normal 4" xfId="64"/>
    <cellStyle name="Normal_Sheet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styles" Target="styles.xml" /><Relationship Id="rId100" Type="http://schemas.openxmlformats.org/officeDocument/2006/relationships/sharedStrings" Target="sharedStrings.xml" /><Relationship Id="rId101" Type="http://schemas.openxmlformats.org/officeDocument/2006/relationships/externalLink" Target="externalLinks/externalLink1.xml" /><Relationship Id="rId102" Type="http://schemas.openxmlformats.org/officeDocument/2006/relationships/externalLink" Target="externalLinks/externalLink2.xml" /><Relationship Id="rId103" Type="http://schemas.openxmlformats.org/officeDocument/2006/relationships/externalLink" Target="externalLinks/externalLink3.xml" /><Relationship Id="rId104" Type="http://schemas.openxmlformats.org/officeDocument/2006/relationships/externalLink" Target="externalLinks/externalLink4.xml" /><Relationship Id="rId105" Type="http://schemas.openxmlformats.org/officeDocument/2006/relationships/externalLink" Target="externalLinks/externalLink5.xml" /><Relationship Id="rId106" Type="http://schemas.openxmlformats.org/officeDocument/2006/relationships/externalLink" Target="externalLinks/externalLink6.xml" /><Relationship Id="rId10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jerc\TARIFF%202021-22\Draft%20Calculation-2021-22%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My%20Documents\Downloads\jerc\Tariff%20petition%202016-17\SE_Tariff%20working%202015-16%20prelim_modifi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My%20Documents\Downloads\DOCUME~1\admin\LOCALS~1\Temp\PPCL_tariff_-JERC_norms-cal%20tariff%20rev1-Jerc%20ord-7.8.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esk%20top%20Folder\plant%20performance%20details\Annual%20Performance%20report%20200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My%20Documents\Downloads\Users\General\Downloads\True%20up%20petition%20for%202013-14\Final%20truing%20up%202013-14%20to%20be%20filed%20on%20Jan,16\Final%20truing%20up%20Calculation%20-%202014-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My%20Documents\Downloads\Final%20draft%20truing%20up%20Calculation%20-%20201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G (3)"/>
      <sheetName val="3G &amp; 4G (3)"/>
      <sheetName val="HR 20-21"/>
      <sheetName val="ANNUAL PERFORMANCE REVIEW _19-2"/>
      <sheetName val="HR 19-20"/>
      <sheetName val="1G (2)"/>
      <sheetName val="2G (2)"/>
      <sheetName val="3G &amp; 4G (2)"/>
      <sheetName val="5G  (2)"/>
      <sheetName val="6G (2)"/>
      <sheetName val="7G (2)"/>
      <sheetName val="8G (2)"/>
      <sheetName val="9G &amp; 10G (2)"/>
      <sheetName val="11G (2)"/>
      <sheetName val="12G (2)"/>
      <sheetName val="Fuel cost (2)"/>
      <sheetName val="Tariff calc 18-19 "/>
      <sheetName val="Tariff calc 15-16 (2)"/>
      <sheetName val="HR 14-15"/>
      <sheetName val="HR 13-14(2)"/>
      <sheetName val="gas cost (2)"/>
      <sheetName val="apr&quot;11 to Mar'12 (2)"/>
      <sheetName val="HR 12-13 (2)"/>
      <sheetName val="HR 13-14 "/>
      <sheetName val="1G"/>
      <sheetName val="2G"/>
      <sheetName val="3G &amp; 4G"/>
      <sheetName val="5G "/>
      <sheetName val="6G"/>
      <sheetName val="7G"/>
      <sheetName val="8G"/>
      <sheetName val="9G &amp; 10G"/>
      <sheetName val="11G"/>
      <sheetName val="HR 10-11 "/>
      <sheetName val="Tariff calc 14-15"/>
      <sheetName val="Tariff calc(2012-13)"/>
      <sheetName val="Sheet1"/>
      <sheetName val="ADDTIONAL CAPITAL COST"/>
      <sheetName val="APR FOR FY-17-18"/>
      <sheetName val="Sheet2"/>
      <sheetName val="Tariff calc 16-17(2)"/>
      <sheetName val="plant performance"/>
      <sheetName val="HR _2017-18"/>
      <sheetName val="2000-17 (2)"/>
      <sheetName val="ANNUAL PERFORMANCE REVIEW (3)"/>
    </sheetNames>
    <sheetDataSet>
      <sheetData sheetId="2">
        <row r="6">
          <cell r="O6">
            <v>19581590</v>
          </cell>
          <cell r="P6">
            <v>1128590</v>
          </cell>
          <cell r="R6">
            <v>5.763525842385628</v>
          </cell>
          <cell r="S6">
            <v>2638.09</v>
          </cell>
          <cell r="V6">
            <v>42187660</v>
          </cell>
          <cell r="Y6">
            <v>41888310</v>
          </cell>
          <cell r="AA6">
            <v>83.68200854700855</v>
          </cell>
          <cell r="AC6">
            <v>69225903</v>
          </cell>
          <cell r="AD6">
            <v>27360747</v>
          </cell>
        </row>
        <row r="9">
          <cell r="O9">
            <v>21020230</v>
          </cell>
          <cell r="P9">
            <v>1111430</v>
          </cell>
          <cell r="R9">
            <v>5.287430251714658</v>
          </cell>
          <cell r="S9">
            <v>2643.33</v>
          </cell>
          <cell r="V9">
            <v>46391385</v>
          </cell>
          <cell r="Y9">
            <v>46387504</v>
          </cell>
          <cell r="AA9">
            <v>86.9322994210091</v>
          </cell>
          <cell r="AC9">
            <v>82061412</v>
          </cell>
          <cell r="AD9">
            <v>27772996</v>
          </cell>
        </row>
        <row r="12">
          <cell r="O12">
            <v>20502670</v>
          </cell>
          <cell r="P12">
            <v>1148870</v>
          </cell>
          <cell r="R12">
            <v>5.603514078898017</v>
          </cell>
          <cell r="S12">
            <v>2746.27</v>
          </cell>
          <cell r="V12">
            <v>46696869</v>
          </cell>
          <cell r="Y12">
            <v>44707278</v>
          </cell>
          <cell r="AA12">
            <v>87.61824786324786</v>
          </cell>
          <cell r="AC12">
            <v>80598535</v>
          </cell>
          <cell r="AD12">
            <v>27791257</v>
          </cell>
        </row>
        <row r="15">
          <cell r="O15">
            <v>19270090</v>
          </cell>
          <cell r="P15">
            <v>1058090</v>
          </cell>
          <cell r="R15">
            <v>5.4908409872501895</v>
          </cell>
          <cell r="S15">
            <v>2845.82</v>
          </cell>
          <cell r="V15">
            <v>45516074</v>
          </cell>
          <cell r="AA15">
            <v>79.6943341604632</v>
          </cell>
          <cell r="AC15">
            <v>77475462</v>
          </cell>
          <cell r="AD15">
            <v>27381510</v>
          </cell>
        </row>
        <row r="18">
          <cell r="O18">
            <v>18352760</v>
          </cell>
          <cell r="P18">
            <v>1066360</v>
          </cell>
          <cell r="R18">
            <v>5.810352230400223</v>
          </cell>
          <cell r="S18">
            <v>3011.03</v>
          </cell>
          <cell r="V18">
            <v>45472242</v>
          </cell>
          <cell r="Y18">
            <v>40268734</v>
          </cell>
          <cell r="AA18">
            <v>75.90057899090156</v>
          </cell>
          <cell r="AC18">
            <v>72306948</v>
          </cell>
          <cell r="AD18">
            <v>23771833</v>
          </cell>
        </row>
        <row r="21">
          <cell r="O21">
            <v>18818670</v>
          </cell>
          <cell r="P21">
            <v>1005870</v>
          </cell>
          <cell r="R21">
            <v>5.345064236739366</v>
          </cell>
          <cell r="S21">
            <v>3039.71</v>
          </cell>
          <cell r="V21">
            <v>46909257</v>
          </cell>
          <cell r="Y21">
            <v>40613184</v>
          </cell>
          <cell r="AA21">
            <v>80.42166666666667</v>
          </cell>
        </row>
      </sheetData>
      <sheetData sheetId="4">
        <row r="42">
          <cell r="O42">
            <v>254.70012</v>
          </cell>
          <cell r="P42">
            <v>14.5072016</v>
          </cell>
        </row>
        <row r="43">
          <cell r="P43">
            <v>5.695796923849113</v>
          </cell>
        </row>
        <row r="44">
          <cell r="M44">
            <v>10574.003568820059</v>
          </cell>
          <cell r="V44">
            <v>89.2182009247583</v>
          </cell>
        </row>
        <row r="46">
          <cell r="G46">
            <v>2601.6151955722717</v>
          </cell>
          <cell r="N46">
            <v>11.538843664996422</v>
          </cell>
        </row>
      </sheetData>
      <sheetData sheetId="6">
        <row r="40">
          <cell r="J40">
            <v>10574.003568820059</v>
          </cell>
        </row>
      </sheetData>
      <sheetData sheetId="14">
        <row r="31">
          <cell r="D31">
            <v>885.1075040000001</v>
          </cell>
          <cell r="E31">
            <v>1052.381342325</v>
          </cell>
          <cell r="F31">
            <v>921.78</v>
          </cell>
        </row>
      </sheetData>
      <sheetData sheetId="15">
        <row r="28">
          <cell r="G28">
            <v>8919.547624619458</v>
          </cell>
        </row>
      </sheetData>
      <sheetData sheetId="16">
        <row r="28">
          <cell r="M28">
            <v>12.75</v>
          </cell>
        </row>
        <row r="36">
          <cell r="M36">
            <v>0</v>
          </cell>
        </row>
      </sheetData>
      <sheetData sheetId="17">
        <row r="36">
          <cell r="G36">
            <v>0</v>
          </cell>
          <cell r="H36">
            <v>0</v>
          </cell>
          <cell r="I36">
            <v>0</v>
          </cell>
        </row>
      </sheetData>
      <sheetData sheetId="20">
        <row r="664">
          <cell r="B664">
            <v>61794.80999999999</v>
          </cell>
        </row>
        <row r="665">
          <cell r="B665">
            <v>10065.199634079303</v>
          </cell>
          <cell r="C665">
            <v>10.065199634079303</v>
          </cell>
        </row>
        <row r="723">
          <cell r="B723">
            <v>11900.215042980812</v>
          </cell>
        </row>
      </sheetData>
      <sheetData sheetId="22">
        <row r="44">
          <cell r="K44">
            <v>10017.903553498858</v>
          </cell>
        </row>
        <row r="50">
          <cell r="B50">
            <v>9664.69292810229</v>
          </cell>
        </row>
      </sheetData>
      <sheetData sheetId="25">
        <row r="33">
          <cell r="I33">
            <v>230.76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G (2)"/>
      <sheetName val="2G (2)"/>
      <sheetName val="3G &amp; 4G (2)"/>
      <sheetName val="5G  (2)"/>
      <sheetName val="6G (2)"/>
      <sheetName val="7G (2)"/>
      <sheetName val="8G (2)"/>
      <sheetName val="9G &amp; 10G (2)"/>
      <sheetName val="11G (2)"/>
      <sheetName val="12G (2)"/>
      <sheetName val="Tariff calc 16-17 "/>
      <sheetName val="Tariff calc 15-16 (2)"/>
      <sheetName val="HR 14-15"/>
      <sheetName val="HR 13-14(2)"/>
      <sheetName val="gas cost (2)"/>
      <sheetName val="apr&quot;11 to Mar'12 (2)"/>
      <sheetName val="HR 12-13 (2)"/>
      <sheetName val="HR 13-14 "/>
      <sheetName val="1G"/>
      <sheetName val="2G"/>
      <sheetName val="3G &amp; 4G"/>
      <sheetName val="5G "/>
      <sheetName val="6G"/>
      <sheetName val="7G"/>
      <sheetName val="8G"/>
      <sheetName val="9G &amp; 10G"/>
      <sheetName val="11G"/>
      <sheetName val="HR 10-11 "/>
      <sheetName val="12G"/>
      <sheetName val="Tariff calc 14-15"/>
      <sheetName val="Tariff calc(2012-13)"/>
      <sheetName val="Fuel cost"/>
      <sheetName val="Sheet1"/>
    </sheetNames>
    <sheetDataSet>
      <sheetData sheetId="12">
        <row r="44">
          <cell r="M44">
            <v>10115.81533720412</v>
          </cell>
        </row>
      </sheetData>
      <sheetData sheetId="16">
        <row r="44">
          <cell r="K44">
            <v>10017.903553498858</v>
          </cell>
        </row>
        <row r="50">
          <cell r="B50">
            <v>9664.69292810229</v>
          </cell>
        </row>
      </sheetData>
      <sheetData sheetId="17">
        <row r="44">
          <cell r="M44">
            <v>10123.344248467163</v>
          </cell>
        </row>
        <row r="50">
          <cell r="D50">
            <v>10304.313402764148</v>
          </cell>
        </row>
      </sheetData>
      <sheetData sheetId="19">
        <row r="33">
          <cell r="I33">
            <v>230.76</v>
          </cell>
        </row>
      </sheetData>
      <sheetData sheetId="31">
        <row r="28">
          <cell r="G28">
            <v>10652.39688151332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G"/>
      <sheetName val="2G"/>
      <sheetName val="3G &amp; 4G"/>
      <sheetName val="5G "/>
      <sheetName val="6G"/>
      <sheetName val="7G"/>
      <sheetName val="8G"/>
      <sheetName val="9G &amp; 10G"/>
      <sheetName val="11G"/>
      <sheetName val="12G"/>
      <sheetName val="Tariff calc(2012-13)"/>
      <sheetName val="Fuel cost"/>
    </sheetNames>
    <sheetDataSet>
      <sheetData sheetId="5">
        <row r="49">
          <cell r="P49">
            <v>5.053750700662716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3)"/>
      <sheetName val="Sheet1 (2)"/>
      <sheetName val="Sheet1"/>
      <sheetName val="Sheet2"/>
      <sheetName val="Sheet3"/>
      <sheetName val="2016-17"/>
      <sheetName val="2017-18"/>
      <sheetName val="2018-19"/>
      <sheetName val="2000-17"/>
    </sheetNames>
    <sheetDataSet>
      <sheetData sheetId="5">
        <row r="15">
          <cell r="B15">
            <v>169340000</v>
          </cell>
          <cell r="C15">
            <v>77303350</v>
          </cell>
          <cell r="E15">
            <v>231314711.79999998</v>
          </cell>
          <cell r="F15">
            <v>231314711.79999998</v>
          </cell>
          <cell r="G15">
            <v>86.6327186512118</v>
          </cell>
          <cell r="H15">
            <v>65450110</v>
          </cell>
          <cell r="I15">
            <v>3.7684176543018797</v>
          </cell>
          <cell r="J15">
            <v>15328638.2</v>
          </cell>
          <cell r="K15">
            <v>6.214900259828615</v>
          </cell>
          <cell r="M15">
            <v>13.783333333333333</v>
          </cell>
          <cell r="N15">
            <v>22.25763888888889</v>
          </cell>
          <cell r="O15">
            <v>0.8270833333333333</v>
          </cell>
          <cell r="P15">
            <v>4.6097222222222225</v>
          </cell>
          <cell r="Q15">
            <v>0.6097222222222223</v>
          </cell>
          <cell r="R15">
            <v>0</v>
          </cell>
          <cell r="S15">
            <v>0</v>
          </cell>
          <cell r="T15">
            <v>8.174999999999999</v>
          </cell>
          <cell r="U15">
            <v>13.611805555555556</v>
          </cell>
          <cell r="V15">
            <v>95.2855005268704</v>
          </cell>
          <cell r="W15">
            <v>96.97</v>
          </cell>
          <cell r="X15">
            <v>31.40884722222222</v>
          </cell>
          <cell r="AA15">
            <v>32.24482616723494</v>
          </cell>
          <cell r="AB15">
            <v>10055.646353047536</v>
          </cell>
          <cell r="AC15">
            <v>2668.4001815903816</v>
          </cell>
        </row>
      </sheetData>
      <sheetData sheetId="6">
        <row r="15">
          <cell r="B15">
            <v>175995000</v>
          </cell>
          <cell r="C15">
            <v>54341410</v>
          </cell>
          <cell r="D15">
            <v>230336410</v>
          </cell>
          <cell r="E15">
            <v>214687915</v>
          </cell>
          <cell r="F15">
            <v>214685874.99999997</v>
          </cell>
          <cell r="G15">
            <v>80.90495609413418</v>
          </cell>
          <cell r="H15">
            <v>67605388</v>
          </cell>
          <cell r="I15">
            <v>3.407071785461833</v>
          </cell>
          <cell r="J15">
            <v>15648494.999999996</v>
          </cell>
          <cell r="K15">
            <v>6.793756575436769</v>
          </cell>
          <cell r="M15">
            <v>4.372916666666666</v>
          </cell>
          <cell r="N15">
            <v>33.05763888888889</v>
          </cell>
          <cell r="O15">
            <v>1.7256944444444444</v>
          </cell>
          <cell r="P15">
            <v>2.575</v>
          </cell>
          <cell r="Q15">
            <v>0.38958333333333334</v>
          </cell>
          <cell r="R15">
            <v>0.5458333333333333</v>
          </cell>
          <cell r="S15">
            <v>0</v>
          </cell>
          <cell r="T15">
            <v>0</v>
          </cell>
          <cell r="U15">
            <v>4.300694444444444</v>
          </cell>
          <cell r="V15">
            <v>99.77168949771689</v>
          </cell>
          <cell r="W15">
            <v>94.24</v>
          </cell>
          <cell r="X15">
            <v>29.332002688172043</v>
          </cell>
          <cell r="AA15">
            <v>29.175096560903086</v>
          </cell>
          <cell r="AB15">
            <v>10048.008261427032</v>
          </cell>
          <cell r="AC15">
            <v>2949.1624756198116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rue up 14-15"/>
      <sheetName val="1G (2)14-15"/>
      <sheetName val="2G_14-15"/>
      <sheetName val="9G &amp; 10G_14-15"/>
      <sheetName val="1G"/>
      <sheetName val="2G"/>
      <sheetName val="3G &amp; 4G"/>
      <sheetName val="5G "/>
      <sheetName val="6G"/>
      <sheetName val="7G"/>
      <sheetName val="8G"/>
      <sheetName val="9G &amp; 10G"/>
      <sheetName val="11G"/>
      <sheetName val="12G-14-15"/>
      <sheetName val="Fuel cost"/>
      <sheetName val="Tariff calc 17-18 "/>
    </sheetNames>
    <sheetDataSet>
      <sheetData sheetId="15">
        <row r="12">
          <cell r="K12">
            <v>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R 18-19"/>
      <sheetName val="APR FOR FY-18-19"/>
      <sheetName val="True up 18-19"/>
      <sheetName val="HR _2017-18"/>
      <sheetName val="1G"/>
      <sheetName val="2G"/>
      <sheetName val="3G &amp; 4G"/>
      <sheetName val="5G "/>
      <sheetName val="6G"/>
      <sheetName val="7G"/>
      <sheetName val="8G"/>
      <sheetName val="9G &amp; 10G"/>
      <sheetName val="11G"/>
      <sheetName val="12G"/>
      <sheetName val="Fuel cost"/>
      <sheetName val="HR 15-16 (2)"/>
      <sheetName val="HR _2016-17"/>
      <sheetName val="APR FOR FY-17-18"/>
      <sheetName val="APR FOR FY-16-17"/>
    </sheetNames>
    <sheetDataSet>
      <sheetData sheetId="0">
        <row r="41">
          <cell r="R41">
            <v>6.701571505305687</v>
          </cell>
        </row>
        <row r="42">
          <cell r="O42">
            <v>229.56779</v>
          </cell>
          <cell r="P42">
            <v>15.384649599999998</v>
          </cell>
        </row>
        <row r="44">
          <cell r="V44">
            <v>80.63498068141904</v>
          </cell>
        </row>
        <row r="46">
          <cell r="G46">
            <v>2700.5645407097572</v>
          </cell>
        </row>
        <row r="50">
          <cell r="D50">
            <v>10065.199634079303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mailto:GST@18%25" TargetMode="External" /><Relationship Id="rId2" Type="http://schemas.openxmlformats.org/officeDocument/2006/relationships/hyperlink" Target="mailto:GST@18%25" TargetMode="External" /><Relationship Id="rId3"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0.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1.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2.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5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8">
      <selection activeCell="A1" sqref="A1:G19"/>
    </sheetView>
  </sheetViews>
  <sheetFormatPr defaultColWidth="9.33203125" defaultRowHeight="12.75"/>
  <cols>
    <col min="1" max="1" width="6.5" style="0" customWidth="1"/>
    <col min="2" max="2" width="4.83203125" style="0" customWidth="1"/>
    <col min="3" max="3" width="9.33203125" style="0" customWidth="1"/>
    <col min="4" max="4" width="10.5" style="0" customWidth="1"/>
    <col min="5" max="5" width="47.5" style="0" customWidth="1"/>
    <col min="6" max="6" width="21.83203125" style="0" customWidth="1"/>
    <col min="7" max="7" width="18" style="0" customWidth="1"/>
    <col min="8" max="8" width="10.66015625" style="0" customWidth="1"/>
  </cols>
  <sheetData>
    <row r="1" spans="1:8" ht="81.75" customHeight="1">
      <c r="A1" s="1093" t="s">
        <v>1150</v>
      </c>
      <c r="B1" s="1093"/>
      <c r="C1" s="1093"/>
      <c r="D1" s="1093"/>
      <c r="E1" s="1093"/>
      <c r="F1" s="1093"/>
      <c r="G1" s="997" t="s">
        <v>1151</v>
      </c>
      <c r="H1" s="970"/>
    </row>
    <row r="2" spans="1:7" ht="19.5" customHeight="1">
      <c r="A2" s="84">
        <v>1</v>
      </c>
      <c r="B2" s="1094" t="s">
        <v>1942</v>
      </c>
      <c r="C2" s="1077"/>
      <c r="D2" s="1077"/>
      <c r="E2" s="1077"/>
      <c r="F2" s="1077"/>
      <c r="G2" s="1078"/>
    </row>
    <row r="3" spans="1:7" ht="26.25" customHeight="1">
      <c r="A3" s="84">
        <v>2</v>
      </c>
      <c r="B3" s="1076" t="s">
        <v>1153</v>
      </c>
      <c r="C3" s="1078"/>
      <c r="D3" s="1095" t="s">
        <v>1943</v>
      </c>
      <c r="E3" s="1096"/>
      <c r="F3" s="1096"/>
      <c r="G3" s="1097"/>
    </row>
    <row r="4" spans="1:7" ht="351" customHeight="1">
      <c r="A4" s="84">
        <v>3</v>
      </c>
      <c r="B4" s="1098" t="s">
        <v>1944</v>
      </c>
      <c r="C4" s="1099"/>
      <c r="D4" s="1099"/>
      <c r="E4" s="1099"/>
      <c r="F4" s="1099"/>
      <c r="G4" s="1100"/>
    </row>
    <row r="5" spans="1:7" ht="17.25" customHeight="1">
      <c r="A5" s="84">
        <v>4</v>
      </c>
      <c r="B5" s="1076" t="s">
        <v>1155</v>
      </c>
      <c r="C5" s="1077"/>
      <c r="D5" s="1077"/>
      <c r="E5" s="1077"/>
      <c r="F5" s="1077"/>
      <c r="G5" s="1078"/>
    </row>
    <row r="6" spans="1:7" ht="21.75" customHeight="1">
      <c r="A6" s="4"/>
      <c r="B6" s="1076" t="s">
        <v>1156</v>
      </c>
      <c r="C6" s="1077"/>
      <c r="D6" s="1077"/>
      <c r="E6" s="1077"/>
      <c r="F6" s="1077"/>
      <c r="G6" s="1078"/>
    </row>
    <row r="7" spans="1:7" ht="47.25" customHeight="1">
      <c r="A7" s="6"/>
      <c r="B7" s="13" t="s">
        <v>1157</v>
      </c>
      <c r="C7" s="1086" t="s">
        <v>1945</v>
      </c>
      <c r="D7" s="1101"/>
      <c r="E7" s="1101"/>
      <c r="F7" s="1101"/>
      <c r="G7" s="1102"/>
    </row>
    <row r="8" spans="1:7" ht="22.5" customHeight="1">
      <c r="A8" s="4"/>
      <c r="B8" s="13" t="s">
        <v>1158</v>
      </c>
      <c r="C8" s="1089"/>
      <c r="D8" s="1090"/>
      <c r="E8" s="1091"/>
      <c r="F8" s="1089"/>
      <c r="G8" s="1091"/>
    </row>
    <row r="9" spans="1:7" ht="22.5" customHeight="1">
      <c r="A9" s="4"/>
      <c r="B9" s="13" t="s">
        <v>1159</v>
      </c>
      <c r="C9" s="1089"/>
      <c r="D9" s="1090"/>
      <c r="E9" s="1091"/>
      <c r="F9" s="1089"/>
      <c r="G9" s="1091"/>
    </row>
    <row r="10" spans="1:7" ht="21.75" customHeight="1">
      <c r="A10" s="84">
        <v>5</v>
      </c>
      <c r="B10" s="1076" t="s">
        <v>1160</v>
      </c>
      <c r="C10" s="1077"/>
      <c r="D10" s="1078"/>
      <c r="E10" s="1089"/>
      <c r="F10" s="1090"/>
      <c r="G10" s="1091"/>
    </row>
    <row r="11" spans="1:7" ht="22.5" customHeight="1">
      <c r="A11" s="4"/>
      <c r="B11" s="1076" t="s">
        <v>1161</v>
      </c>
      <c r="C11" s="1077"/>
      <c r="D11" s="1078"/>
      <c r="E11" s="1079"/>
      <c r="F11" s="1074"/>
      <c r="G11" s="1075"/>
    </row>
    <row r="12" spans="1:7" ht="19.5" customHeight="1">
      <c r="A12" s="4"/>
      <c r="B12" s="1076" t="s">
        <v>1162</v>
      </c>
      <c r="C12" s="1077"/>
      <c r="D12" s="1078"/>
      <c r="E12" s="1079"/>
      <c r="F12" s="1074"/>
      <c r="G12" s="1075"/>
    </row>
    <row r="13" spans="1:7" ht="19.5" customHeight="1">
      <c r="A13" s="1080" t="s">
        <v>1163</v>
      </c>
      <c r="B13" s="1081"/>
      <c r="C13" s="1081"/>
      <c r="D13" s="1082"/>
      <c r="E13" s="1079"/>
      <c r="F13" s="1074"/>
      <c r="G13" s="1075"/>
    </row>
    <row r="14" spans="1:7" ht="22.5" customHeight="1">
      <c r="A14" s="4"/>
      <c r="B14" s="1083" t="s">
        <v>1164</v>
      </c>
      <c r="C14" s="1084"/>
      <c r="D14" s="1085"/>
      <c r="E14" s="1086" t="s">
        <v>1946</v>
      </c>
      <c r="F14" s="1087"/>
      <c r="G14" s="1088"/>
    </row>
    <row r="15" spans="1:7" ht="22.5" customHeight="1">
      <c r="A15" s="4"/>
      <c r="B15" s="1083" t="s">
        <v>1165</v>
      </c>
      <c r="C15" s="1084"/>
      <c r="D15" s="1085"/>
      <c r="E15" s="1073" t="s">
        <v>1947</v>
      </c>
      <c r="F15" s="1074"/>
      <c r="G15" s="1075"/>
    </row>
    <row r="16" spans="1:7" ht="22.5" customHeight="1">
      <c r="A16" s="4"/>
      <c r="B16" s="1083" t="s">
        <v>1166</v>
      </c>
      <c r="C16" s="1084"/>
      <c r="D16" s="1085"/>
      <c r="E16" s="1079"/>
      <c r="F16" s="1074"/>
      <c r="G16" s="1075"/>
    </row>
    <row r="17" spans="1:7" ht="22.5" customHeight="1">
      <c r="A17" s="4"/>
      <c r="B17" s="1083" t="s">
        <v>1167</v>
      </c>
      <c r="C17" s="1084"/>
      <c r="D17" s="1085"/>
      <c r="E17" s="1092">
        <v>0.85</v>
      </c>
      <c r="F17" s="1087"/>
      <c r="G17" s="1088"/>
    </row>
    <row r="18" spans="1:7" ht="22.5" customHeight="1">
      <c r="A18" s="4"/>
      <c r="B18" s="1083" t="s">
        <v>1168</v>
      </c>
      <c r="C18" s="1084"/>
      <c r="D18" s="1085"/>
      <c r="E18" s="1079"/>
      <c r="F18" s="1074"/>
      <c r="G18" s="1075"/>
    </row>
    <row r="19" spans="1:7" ht="22.5" customHeight="1">
      <c r="A19" s="4"/>
      <c r="B19" s="1089"/>
      <c r="C19" s="1090"/>
      <c r="D19" s="1091"/>
      <c r="E19" s="1089"/>
      <c r="F19" s="1090"/>
      <c r="G19" s="1091"/>
    </row>
  </sheetData>
  <sheetProtection/>
  <mergeCells count="32">
    <mergeCell ref="C8:E8"/>
    <mergeCell ref="F8:G8"/>
    <mergeCell ref="C9:E9"/>
    <mergeCell ref="F9:G9"/>
    <mergeCell ref="E10:G10"/>
    <mergeCell ref="C7:G7"/>
    <mergeCell ref="B10:D10"/>
    <mergeCell ref="B5:G5"/>
    <mergeCell ref="A1:F1"/>
    <mergeCell ref="B2:G2"/>
    <mergeCell ref="B3:C3"/>
    <mergeCell ref="D3:G3"/>
    <mergeCell ref="B4:G4"/>
    <mergeCell ref="B6:G6"/>
    <mergeCell ref="B19:D19"/>
    <mergeCell ref="E19:G19"/>
    <mergeCell ref="B16:D16"/>
    <mergeCell ref="E16:G16"/>
    <mergeCell ref="B17:D17"/>
    <mergeCell ref="E17:G17"/>
    <mergeCell ref="B18:D18"/>
    <mergeCell ref="E18:G18"/>
    <mergeCell ref="B15:D15"/>
    <mergeCell ref="E15:G15"/>
    <mergeCell ref="B11:D11"/>
    <mergeCell ref="E11:G11"/>
    <mergeCell ref="B12:D12"/>
    <mergeCell ref="E12:G12"/>
    <mergeCell ref="A13:D13"/>
    <mergeCell ref="E13:G13"/>
    <mergeCell ref="B14:D14"/>
    <mergeCell ref="E14:G14"/>
  </mergeCells>
  <printOptions horizontalCentered="1" verticalCentered="1"/>
  <pageMargins left="0.7" right="0.7" top="0.23" bottom="0.16" header="0.3" footer="0.3"/>
  <pageSetup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B2:V41"/>
  <sheetViews>
    <sheetView view="pageBreakPreview" zoomScaleSheetLayoutView="100" zoomScalePageLayoutView="0" workbookViewId="0" topLeftCell="A28">
      <selection activeCell="A2" sqref="A2:V39"/>
    </sheetView>
  </sheetViews>
  <sheetFormatPr defaultColWidth="9.33203125" defaultRowHeight="12.75"/>
  <cols>
    <col min="1" max="1" width="9.33203125" style="90" customWidth="1"/>
    <col min="2" max="2" width="7" style="90" customWidth="1"/>
    <col min="3" max="3" width="20.33203125" style="90" customWidth="1"/>
    <col min="4" max="5" width="0" style="90" hidden="1" customWidth="1"/>
    <col min="6" max="16384" width="9.33203125" style="90" customWidth="1"/>
  </cols>
  <sheetData>
    <row r="2" ht="15">
      <c r="U2" s="1000" t="s">
        <v>1950</v>
      </c>
    </row>
    <row r="3" ht="12.75" hidden="1"/>
    <row r="4" ht="12.75" hidden="1"/>
    <row r="5" ht="12.75" hidden="1"/>
    <row r="6" ht="12.75" hidden="1"/>
    <row r="8" ht="16.5" customHeight="1">
      <c r="C8" s="1001" t="s">
        <v>1404</v>
      </c>
    </row>
    <row r="9" ht="20.25" customHeight="1">
      <c r="C9" s="201" t="s">
        <v>2028</v>
      </c>
    </row>
    <row r="10" ht="15" customHeight="1">
      <c r="C10" s="90" t="s">
        <v>1951</v>
      </c>
    </row>
    <row r="13" spans="2:22" ht="12.75">
      <c r="B13" s="225" t="s">
        <v>1400</v>
      </c>
      <c r="C13" s="225" t="s">
        <v>1952</v>
      </c>
      <c r="D13" s="225"/>
      <c r="E13" s="225"/>
      <c r="F13" s="1135" t="s">
        <v>1953</v>
      </c>
      <c r="G13" s="1135"/>
      <c r="H13" s="1135" t="s">
        <v>1954</v>
      </c>
      <c r="I13" s="1135"/>
      <c r="J13" s="1135" t="s">
        <v>1955</v>
      </c>
      <c r="K13" s="1135"/>
      <c r="L13" s="1135"/>
      <c r="M13" s="1135" t="s">
        <v>1956</v>
      </c>
      <c r="N13" s="1135"/>
      <c r="O13" s="1135"/>
      <c r="P13" s="225" t="s">
        <v>1957</v>
      </c>
      <c r="Q13" s="225"/>
      <c r="R13" s="1135" t="s">
        <v>1958</v>
      </c>
      <c r="S13" s="1135"/>
      <c r="T13" s="1135"/>
      <c r="U13" s="225"/>
      <c r="V13" s="225"/>
    </row>
    <row r="14" spans="2:22" ht="12.75">
      <c r="B14" s="225"/>
      <c r="C14" s="225"/>
      <c r="D14" s="225"/>
      <c r="E14" s="225"/>
      <c r="F14" s="225"/>
      <c r="G14" s="225"/>
      <c r="H14" s="225"/>
      <c r="I14" s="225"/>
      <c r="J14" s="225"/>
      <c r="K14" s="225"/>
      <c r="L14" s="225"/>
      <c r="M14" s="225"/>
      <c r="N14" s="225"/>
      <c r="O14" s="225"/>
      <c r="P14" s="225"/>
      <c r="Q14" s="225"/>
      <c r="R14" s="1135" t="s">
        <v>1513</v>
      </c>
      <c r="S14" s="1135"/>
      <c r="T14" s="1135" t="s">
        <v>1959</v>
      </c>
      <c r="U14" s="1135"/>
      <c r="V14" s="1135"/>
    </row>
    <row r="15" spans="2:22" ht="12.75">
      <c r="B15" s="225">
        <v>1</v>
      </c>
      <c r="C15" s="225">
        <v>2</v>
      </c>
      <c r="D15" s="225"/>
      <c r="E15" s="225"/>
      <c r="F15" s="225">
        <v>3</v>
      </c>
      <c r="G15" s="225"/>
      <c r="H15" s="225">
        <v>4</v>
      </c>
      <c r="I15" s="225"/>
      <c r="J15" s="225">
        <v>5</v>
      </c>
      <c r="K15" s="225"/>
      <c r="L15" s="225"/>
      <c r="M15" s="225">
        <v>6</v>
      </c>
      <c r="N15" s="225"/>
      <c r="O15" s="225"/>
      <c r="P15" s="225">
        <v>7</v>
      </c>
      <c r="Q15" s="225"/>
      <c r="R15" s="225">
        <v>8</v>
      </c>
      <c r="S15" s="225"/>
      <c r="T15" s="225">
        <v>9</v>
      </c>
      <c r="U15" s="225"/>
      <c r="V15" s="225"/>
    </row>
    <row r="16" spans="2:22" ht="12.75">
      <c r="B16" s="225"/>
      <c r="C16" s="225"/>
      <c r="D16" s="225"/>
      <c r="E16" s="225"/>
      <c r="F16" s="225"/>
      <c r="G16" s="225"/>
      <c r="H16" s="225"/>
      <c r="I16" s="225"/>
      <c r="J16" s="225"/>
      <c r="K16" s="225"/>
      <c r="L16" s="225"/>
      <c r="M16" s="225"/>
      <c r="N16" s="225"/>
      <c r="O16" s="225"/>
      <c r="P16" s="225"/>
      <c r="Q16" s="225"/>
      <c r="R16" s="225"/>
      <c r="S16" s="225"/>
      <c r="T16" s="225"/>
      <c r="U16" s="225"/>
      <c r="V16" s="225"/>
    </row>
    <row r="17" spans="2:22" ht="18" customHeight="1">
      <c r="B17" s="225">
        <v>1</v>
      </c>
      <c r="C17" s="250" t="s">
        <v>1960</v>
      </c>
      <c r="D17" s="225"/>
      <c r="E17" s="225"/>
      <c r="F17" s="225"/>
      <c r="G17" s="225"/>
      <c r="H17" s="225"/>
      <c r="I17" s="225"/>
      <c r="J17" s="225"/>
      <c r="K17" s="225"/>
      <c r="L17" s="225"/>
      <c r="M17" s="225"/>
      <c r="N17" s="225"/>
      <c r="O17" s="225"/>
      <c r="P17" s="225"/>
      <c r="Q17" s="225"/>
      <c r="R17" s="225"/>
      <c r="S17" s="225"/>
      <c r="T17" s="225"/>
      <c r="U17" s="225"/>
      <c r="V17" s="225"/>
    </row>
    <row r="18" spans="2:22" ht="12.75">
      <c r="B18" s="225">
        <v>2</v>
      </c>
      <c r="C18" s="250" t="s">
        <v>1961</v>
      </c>
      <c r="D18" s="225"/>
      <c r="E18" s="225"/>
      <c r="F18" s="225"/>
      <c r="G18" s="330"/>
      <c r="H18" s="225"/>
      <c r="I18" s="225"/>
      <c r="J18" s="225"/>
      <c r="K18" s="1156" t="s">
        <v>1510</v>
      </c>
      <c r="L18" s="1157"/>
      <c r="M18" s="1157"/>
      <c r="N18" s="1157"/>
      <c r="O18" s="1157"/>
      <c r="P18" s="1158"/>
      <c r="Q18" s="225"/>
      <c r="R18" s="225"/>
      <c r="S18" s="225"/>
      <c r="T18" s="225"/>
      <c r="U18" s="225"/>
      <c r="V18" s="225"/>
    </row>
    <row r="19" spans="2:22" ht="12.75">
      <c r="B19" s="225">
        <v>3</v>
      </c>
      <c r="C19" s="250" t="s">
        <v>1962</v>
      </c>
      <c r="D19" s="225"/>
      <c r="E19" s="225"/>
      <c r="F19" s="225"/>
      <c r="G19" s="225"/>
      <c r="H19" s="225"/>
      <c r="I19" s="225"/>
      <c r="J19" s="225"/>
      <c r="K19" s="1159"/>
      <c r="L19" s="1160"/>
      <c r="M19" s="1160"/>
      <c r="N19" s="1160"/>
      <c r="O19" s="1160"/>
      <c r="P19" s="1161"/>
      <c r="Q19" s="225"/>
      <c r="R19" s="225"/>
      <c r="S19" s="225"/>
      <c r="T19" s="225"/>
      <c r="U19" s="225"/>
      <c r="V19" s="225"/>
    </row>
    <row r="20" spans="2:22" ht="12.75">
      <c r="B20" s="225">
        <v>4</v>
      </c>
      <c r="C20" s="250" t="s">
        <v>1963</v>
      </c>
      <c r="D20" s="225"/>
      <c r="E20" s="225"/>
      <c r="F20" s="225"/>
      <c r="G20" s="225"/>
      <c r="H20" s="225"/>
      <c r="I20" s="225"/>
      <c r="J20" s="225"/>
      <c r="K20" s="1159"/>
      <c r="L20" s="1160"/>
      <c r="M20" s="1160"/>
      <c r="N20" s="1160"/>
      <c r="O20" s="1160"/>
      <c r="P20" s="1161"/>
      <c r="Q20" s="225"/>
      <c r="R20" s="225"/>
      <c r="S20" s="225"/>
      <c r="T20" s="225"/>
      <c r="U20" s="225"/>
      <c r="V20" s="225"/>
    </row>
    <row r="21" spans="2:22" ht="12.75">
      <c r="B21" s="225">
        <v>5</v>
      </c>
      <c r="C21" s="250" t="s">
        <v>1964</v>
      </c>
      <c r="D21" s="225"/>
      <c r="E21" s="225"/>
      <c r="F21" s="225"/>
      <c r="G21" s="225"/>
      <c r="H21" s="225"/>
      <c r="I21" s="225"/>
      <c r="J21" s="225"/>
      <c r="K21" s="1159"/>
      <c r="L21" s="1160"/>
      <c r="M21" s="1160"/>
      <c r="N21" s="1160"/>
      <c r="O21" s="1160"/>
      <c r="P21" s="1161"/>
      <c r="Q21" s="225"/>
      <c r="R21" s="225"/>
      <c r="S21" s="225"/>
      <c r="T21" s="225"/>
      <c r="U21" s="225"/>
      <c r="V21" s="225"/>
    </row>
    <row r="22" spans="2:22" ht="12.75">
      <c r="B22" s="225">
        <v>6</v>
      </c>
      <c r="C22" s="250" t="s">
        <v>1965</v>
      </c>
      <c r="D22" s="225"/>
      <c r="E22" s="225"/>
      <c r="F22" s="1002"/>
      <c r="G22" s="1003"/>
      <c r="H22" s="1003"/>
      <c r="I22" s="1003"/>
      <c r="J22" s="1004"/>
      <c r="K22" s="1159"/>
      <c r="L22" s="1160"/>
      <c r="M22" s="1160"/>
      <c r="N22" s="1160"/>
      <c r="O22" s="1160"/>
      <c r="P22" s="1161"/>
      <c r="Q22" s="225"/>
      <c r="R22" s="225"/>
      <c r="S22" s="225"/>
      <c r="T22" s="225"/>
      <c r="U22" s="225"/>
      <c r="V22" s="225"/>
    </row>
    <row r="23" spans="2:22" ht="12.75">
      <c r="B23" s="225">
        <v>7</v>
      </c>
      <c r="C23" s="250" t="s">
        <v>1966</v>
      </c>
      <c r="D23" s="225"/>
      <c r="E23" s="225"/>
      <c r="F23" s="225"/>
      <c r="G23" s="225"/>
      <c r="H23" s="225"/>
      <c r="I23" s="225"/>
      <c r="J23" s="225"/>
      <c r="K23" s="1159"/>
      <c r="L23" s="1160"/>
      <c r="M23" s="1160"/>
      <c r="N23" s="1160"/>
      <c r="O23" s="1160"/>
      <c r="P23" s="1161"/>
      <c r="Q23" s="225"/>
      <c r="R23" s="225"/>
      <c r="S23" s="225"/>
      <c r="T23" s="225"/>
      <c r="U23" s="225"/>
      <c r="V23" s="225"/>
    </row>
    <row r="24" spans="2:22" ht="12.75">
      <c r="B24" s="225">
        <v>8</v>
      </c>
      <c r="C24" s="250" t="s">
        <v>1967</v>
      </c>
      <c r="D24" s="225"/>
      <c r="E24" s="225"/>
      <c r="F24" s="225"/>
      <c r="G24" s="225"/>
      <c r="H24" s="225"/>
      <c r="I24" s="225"/>
      <c r="J24" s="225"/>
      <c r="K24" s="1159"/>
      <c r="L24" s="1160"/>
      <c r="M24" s="1160"/>
      <c r="N24" s="1160"/>
      <c r="O24" s="1160"/>
      <c r="P24" s="1161"/>
      <c r="Q24" s="225"/>
      <c r="R24" s="225"/>
      <c r="S24" s="225"/>
      <c r="T24" s="225"/>
      <c r="U24" s="225"/>
      <c r="V24" s="225"/>
    </row>
    <row r="25" spans="2:22" ht="12.75">
      <c r="B25" s="225">
        <v>9</v>
      </c>
      <c r="C25" s="250" t="s">
        <v>1968</v>
      </c>
      <c r="D25" s="225"/>
      <c r="E25" s="225"/>
      <c r="F25" s="225"/>
      <c r="G25" s="225"/>
      <c r="H25" s="225"/>
      <c r="I25" s="225"/>
      <c r="J25" s="225"/>
      <c r="K25" s="1159"/>
      <c r="L25" s="1160"/>
      <c r="M25" s="1160"/>
      <c r="N25" s="1160"/>
      <c r="O25" s="1160"/>
      <c r="P25" s="1161"/>
      <c r="Q25" s="225"/>
      <c r="R25" s="225"/>
      <c r="S25" s="225"/>
      <c r="T25" s="225"/>
      <c r="U25" s="225"/>
      <c r="V25" s="225"/>
    </row>
    <row r="26" spans="2:22" ht="12.75">
      <c r="B26" s="225">
        <v>10</v>
      </c>
      <c r="C26" s="250" t="s">
        <v>1969</v>
      </c>
      <c r="D26" s="225"/>
      <c r="E26" s="225"/>
      <c r="F26" s="225"/>
      <c r="G26" s="225"/>
      <c r="H26" s="225"/>
      <c r="I26" s="225"/>
      <c r="J26" s="225"/>
      <c r="K26" s="1159"/>
      <c r="L26" s="1160"/>
      <c r="M26" s="1160"/>
      <c r="N26" s="1160"/>
      <c r="O26" s="1160"/>
      <c r="P26" s="1161"/>
      <c r="Q26" s="225"/>
      <c r="R26" s="225"/>
      <c r="S26" s="225"/>
      <c r="T26" s="225"/>
      <c r="U26" s="225"/>
      <c r="V26" s="225"/>
    </row>
    <row r="27" spans="2:22" ht="25.5">
      <c r="B27" s="225">
        <v>11</v>
      </c>
      <c r="C27" s="250" t="s">
        <v>1970</v>
      </c>
      <c r="D27" s="225"/>
      <c r="E27" s="225"/>
      <c r="F27" s="225"/>
      <c r="G27" s="225"/>
      <c r="H27" s="225"/>
      <c r="I27" s="225"/>
      <c r="J27" s="225"/>
      <c r="K27" s="1159"/>
      <c r="L27" s="1160"/>
      <c r="M27" s="1160"/>
      <c r="N27" s="1160"/>
      <c r="O27" s="1160"/>
      <c r="P27" s="1161"/>
      <c r="Q27" s="225"/>
      <c r="R27" s="225"/>
      <c r="S27" s="225"/>
      <c r="T27" s="225"/>
      <c r="U27" s="225"/>
      <c r="V27" s="225"/>
    </row>
    <row r="28" spans="2:22" ht="12.75">
      <c r="B28" s="225">
        <v>12</v>
      </c>
      <c r="C28" s="250" t="s">
        <v>1971</v>
      </c>
      <c r="D28" s="225"/>
      <c r="E28" s="225"/>
      <c r="F28" s="225"/>
      <c r="G28" s="225"/>
      <c r="H28" s="225"/>
      <c r="I28" s="225"/>
      <c r="J28" s="225"/>
      <c r="K28" s="1159"/>
      <c r="L28" s="1160"/>
      <c r="M28" s="1160"/>
      <c r="N28" s="1160"/>
      <c r="O28" s="1160"/>
      <c r="P28" s="1161"/>
      <c r="Q28" s="225"/>
      <c r="R28" s="225"/>
      <c r="S28" s="225"/>
      <c r="T28" s="225"/>
      <c r="U28" s="225"/>
      <c r="V28" s="225"/>
    </row>
    <row r="29" spans="2:22" ht="12.75">
      <c r="B29" s="225">
        <v>13</v>
      </c>
      <c r="C29" s="250" t="s">
        <v>1382</v>
      </c>
      <c r="D29" s="225"/>
      <c r="E29" s="225"/>
      <c r="F29" s="225"/>
      <c r="G29" s="225"/>
      <c r="H29" s="225"/>
      <c r="I29" s="225"/>
      <c r="J29" s="225"/>
      <c r="K29" s="1159"/>
      <c r="L29" s="1160"/>
      <c r="M29" s="1160"/>
      <c r="N29" s="1160"/>
      <c r="O29" s="1160"/>
      <c r="P29" s="1161"/>
      <c r="Q29" s="225"/>
      <c r="R29" s="225"/>
      <c r="S29" s="225"/>
      <c r="T29" s="225"/>
      <c r="U29" s="225"/>
      <c r="V29" s="225"/>
    </row>
    <row r="30" spans="2:22" ht="12.75">
      <c r="B30" s="225">
        <v>14</v>
      </c>
      <c r="C30" s="250" t="s">
        <v>1972</v>
      </c>
      <c r="D30" s="225"/>
      <c r="E30" s="225"/>
      <c r="F30" s="225"/>
      <c r="G30" s="225"/>
      <c r="H30" s="225"/>
      <c r="I30" s="225"/>
      <c r="J30" s="225"/>
      <c r="K30" s="1159"/>
      <c r="L30" s="1160"/>
      <c r="M30" s="1160"/>
      <c r="N30" s="1160"/>
      <c r="O30" s="1160"/>
      <c r="P30" s="1161"/>
      <c r="Q30" s="225"/>
      <c r="R30" s="225"/>
      <c r="S30" s="225"/>
      <c r="T30" s="225"/>
      <c r="U30" s="225"/>
      <c r="V30" s="225"/>
    </row>
    <row r="31" spans="2:22" ht="12.75">
      <c r="B31" s="225"/>
      <c r="C31" s="250" t="s">
        <v>1973</v>
      </c>
      <c r="D31" s="225"/>
      <c r="E31" s="225"/>
      <c r="F31" s="225"/>
      <c r="G31" s="225"/>
      <c r="H31" s="225"/>
      <c r="I31" s="225"/>
      <c r="J31" s="225"/>
      <c r="K31" s="1159"/>
      <c r="L31" s="1160"/>
      <c r="M31" s="1160"/>
      <c r="N31" s="1160"/>
      <c r="O31" s="1160"/>
      <c r="P31" s="1161"/>
      <c r="Q31" s="225"/>
      <c r="R31" s="225"/>
      <c r="S31" s="225"/>
      <c r="T31" s="225"/>
      <c r="U31" s="225"/>
      <c r="V31" s="225"/>
    </row>
    <row r="32" spans="2:22" ht="25.5">
      <c r="B32" s="225"/>
      <c r="C32" s="250" t="s">
        <v>1974</v>
      </c>
      <c r="D32" s="225"/>
      <c r="E32" s="225"/>
      <c r="F32" s="225"/>
      <c r="G32" s="225"/>
      <c r="H32" s="225"/>
      <c r="I32" s="225"/>
      <c r="J32" s="225"/>
      <c r="K32" s="1162"/>
      <c r="L32" s="1163"/>
      <c r="M32" s="1163"/>
      <c r="N32" s="1163"/>
      <c r="O32" s="1163"/>
      <c r="P32" s="1164"/>
      <c r="Q32" s="225"/>
      <c r="R32" s="225"/>
      <c r="S32" s="225"/>
      <c r="T32" s="225"/>
      <c r="U32" s="225"/>
      <c r="V32" s="225"/>
    </row>
    <row r="33" spans="2:22" ht="12.75">
      <c r="B33" s="225">
        <v>15</v>
      </c>
      <c r="C33" s="250" t="s">
        <v>1975</v>
      </c>
      <c r="D33" s="225"/>
      <c r="E33" s="225"/>
      <c r="F33" s="225"/>
      <c r="G33" s="225"/>
      <c r="H33" s="225"/>
      <c r="I33" s="225"/>
      <c r="J33" s="225"/>
      <c r="K33" s="225"/>
      <c r="L33" s="225"/>
      <c r="M33" s="225"/>
      <c r="N33" s="225"/>
      <c r="O33" s="225"/>
      <c r="P33" s="225"/>
      <c r="Q33" s="225"/>
      <c r="R33" s="225"/>
      <c r="S33" s="225"/>
      <c r="T33" s="225"/>
      <c r="U33" s="225"/>
      <c r="V33" s="225"/>
    </row>
    <row r="34" spans="2:22" ht="12.75">
      <c r="B34" s="225">
        <v>16</v>
      </c>
      <c r="C34" s="250" t="s">
        <v>1976</v>
      </c>
      <c r="D34" s="225"/>
      <c r="E34" s="225"/>
      <c r="F34" s="225"/>
      <c r="G34" s="225"/>
      <c r="H34" s="225"/>
      <c r="I34" s="225"/>
      <c r="J34" s="225"/>
      <c r="K34" s="225"/>
      <c r="L34" s="225"/>
      <c r="M34" s="225"/>
      <c r="N34" s="225"/>
      <c r="O34" s="225"/>
      <c r="P34" s="225"/>
      <c r="Q34" s="225"/>
      <c r="R34" s="225"/>
      <c r="S34" s="225"/>
      <c r="T34" s="225"/>
      <c r="U34" s="225"/>
      <c r="V34" s="225"/>
    </row>
    <row r="35" spans="2:22" ht="12.75">
      <c r="B35" s="225">
        <v>17</v>
      </c>
      <c r="C35" s="250" t="s">
        <v>1977</v>
      </c>
      <c r="D35" s="225"/>
      <c r="E35" s="225"/>
      <c r="F35" s="225"/>
      <c r="G35" s="225"/>
      <c r="H35" s="225"/>
      <c r="I35" s="225"/>
      <c r="J35" s="225"/>
      <c r="K35" s="225"/>
      <c r="L35" s="225"/>
      <c r="M35" s="225"/>
      <c r="N35" s="225"/>
      <c r="O35" s="225"/>
      <c r="P35" s="225"/>
      <c r="Q35" s="225"/>
      <c r="R35" s="225"/>
      <c r="S35" s="225"/>
      <c r="T35" s="225"/>
      <c r="U35" s="225"/>
      <c r="V35" s="225"/>
    </row>
    <row r="36" spans="2:22" ht="12.75">
      <c r="B36" s="225">
        <v>18</v>
      </c>
      <c r="C36" s="250" t="s">
        <v>1978</v>
      </c>
      <c r="D36" s="225"/>
      <c r="E36" s="225"/>
      <c r="F36" s="225"/>
      <c r="G36" s="225"/>
      <c r="H36" s="225"/>
      <c r="I36" s="225"/>
      <c r="J36" s="225"/>
      <c r="K36" s="225"/>
      <c r="L36" s="225"/>
      <c r="M36" s="225"/>
      <c r="N36" s="225"/>
      <c r="O36" s="225"/>
      <c r="P36" s="225"/>
      <c r="Q36" s="225"/>
      <c r="R36" s="225"/>
      <c r="S36" s="225"/>
      <c r="T36" s="225"/>
      <c r="U36" s="225"/>
      <c r="V36" s="225"/>
    </row>
    <row r="37" spans="2:22" ht="12.75">
      <c r="B37" s="225">
        <v>19</v>
      </c>
      <c r="C37" s="250" t="s">
        <v>1979</v>
      </c>
      <c r="D37" s="225"/>
      <c r="E37" s="225"/>
      <c r="F37" s="225"/>
      <c r="G37" s="225"/>
      <c r="H37" s="225"/>
      <c r="I37" s="225"/>
      <c r="J37" s="225"/>
      <c r="K37" s="225"/>
      <c r="L37" s="225"/>
      <c r="M37" s="225"/>
      <c r="N37" s="225"/>
      <c r="O37" s="225"/>
      <c r="P37" s="225"/>
      <c r="Q37" s="225"/>
      <c r="R37" s="225"/>
      <c r="S37" s="225"/>
      <c r="T37" s="225"/>
      <c r="U37" s="225"/>
      <c r="V37" s="225"/>
    </row>
    <row r="38" spans="2:22" ht="12.75">
      <c r="B38" s="225">
        <v>20</v>
      </c>
      <c r="C38" s="250" t="s">
        <v>1980</v>
      </c>
      <c r="D38" s="225"/>
      <c r="E38" s="225"/>
      <c r="F38" s="225"/>
      <c r="G38" s="225"/>
      <c r="H38" s="225"/>
      <c r="I38" s="225"/>
      <c r="J38" s="225"/>
      <c r="K38" s="225"/>
      <c r="L38" s="225"/>
      <c r="M38" s="225"/>
      <c r="N38" s="225"/>
      <c r="O38" s="225"/>
      <c r="P38" s="225"/>
      <c r="Q38" s="225"/>
      <c r="R38" s="225"/>
      <c r="S38" s="225"/>
      <c r="T38" s="225"/>
      <c r="U38" s="225"/>
      <c r="V38" s="225"/>
    </row>
    <row r="39" spans="2:22" ht="25.5">
      <c r="B39" s="225">
        <v>21</v>
      </c>
      <c r="C39" s="250" t="s">
        <v>1981</v>
      </c>
      <c r="D39" s="225"/>
      <c r="E39" s="225"/>
      <c r="F39" s="225"/>
      <c r="G39" s="225"/>
      <c r="H39" s="225"/>
      <c r="I39" s="225"/>
      <c r="J39" s="225"/>
      <c r="K39" s="225"/>
      <c r="L39" s="225"/>
      <c r="M39" s="225"/>
      <c r="N39" s="225"/>
      <c r="O39" s="225"/>
      <c r="P39" s="225"/>
      <c r="Q39" s="225"/>
      <c r="R39" s="225"/>
      <c r="S39" s="225"/>
      <c r="T39" s="225"/>
      <c r="U39" s="225"/>
      <c r="V39" s="225"/>
    </row>
    <row r="41" ht="12.75">
      <c r="L41" s="198"/>
    </row>
    <row r="43" s="198" customFormat="1" ht="12.75"/>
    <row r="44" s="198" customFormat="1" ht="12.75"/>
    <row r="45" s="198" customFormat="1" ht="12.75"/>
    <row r="46" s="198" customFormat="1" ht="12.75"/>
    <row r="47" s="198" customFormat="1" ht="12.75"/>
    <row r="48" s="198" customFormat="1" ht="12.75"/>
    <row r="49" s="198" customFormat="1" ht="12.75"/>
    <row r="50" s="198" customFormat="1" ht="12.75"/>
  </sheetData>
  <sheetProtection/>
  <mergeCells count="8">
    <mergeCell ref="R13:T13"/>
    <mergeCell ref="R14:S14"/>
    <mergeCell ref="T14:V14"/>
    <mergeCell ref="K18:P32"/>
    <mergeCell ref="F13:G13"/>
    <mergeCell ref="H13:I13"/>
    <mergeCell ref="J13:L13"/>
    <mergeCell ref="M13:O13"/>
  </mergeCells>
  <printOptions/>
  <pageMargins left="0.75" right="0.75" top="1" bottom="1" header="0.5" footer="0.5"/>
  <pageSetup horizontalDpi="600" verticalDpi="600" orientation="portrait" scale="48" r:id="rId1"/>
</worksheet>
</file>

<file path=xl/worksheets/sheet11.xml><?xml version="1.0" encoding="utf-8"?>
<worksheet xmlns="http://schemas.openxmlformats.org/spreadsheetml/2006/main" xmlns:r="http://schemas.openxmlformats.org/officeDocument/2006/relationships">
  <dimension ref="B4:J41"/>
  <sheetViews>
    <sheetView view="pageBreakPreview" zoomScaleSheetLayoutView="100" zoomScalePageLayoutView="0" workbookViewId="0" topLeftCell="A25">
      <selection activeCell="A3" sqref="A3:J41"/>
    </sheetView>
  </sheetViews>
  <sheetFormatPr defaultColWidth="9.33203125" defaultRowHeight="12.75"/>
  <cols>
    <col min="1" max="1" width="9.33203125" style="90" customWidth="1"/>
    <col min="2" max="2" width="6.5" style="90" customWidth="1"/>
    <col min="3" max="3" width="44.16015625" style="90" customWidth="1"/>
    <col min="4" max="16384" width="9.33203125" style="90" customWidth="1"/>
  </cols>
  <sheetData>
    <row r="4" ht="12.75">
      <c r="G4" s="198" t="s">
        <v>1496</v>
      </c>
    </row>
    <row r="8" spans="3:4" ht="12.75">
      <c r="C8" s="90" t="s">
        <v>1497</v>
      </c>
      <c r="D8" s="198" t="s">
        <v>1404</v>
      </c>
    </row>
    <row r="9" ht="12.75">
      <c r="C9" s="201" t="s">
        <v>2027</v>
      </c>
    </row>
    <row r="10" ht="12.75">
      <c r="C10" s="90" t="s">
        <v>1499</v>
      </c>
    </row>
    <row r="11" ht="12.75">
      <c r="C11" s="90" t="s">
        <v>2023</v>
      </c>
    </row>
    <row r="12" spans="2:9" ht="12.75">
      <c r="B12" s="225" t="s">
        <v>1400</v>
      </c>
      <c r="C12" s="225" t="s">
        <v>1500</v>
      </c>
      <c r="D12" s="225" t="s">
        <v>1501</v>
      </c>
      <c r="E12" s="225"/>
      <c r="F12" s="225" t="s">
        <v>1502</v>
      </c>
      <c r="G12" s="225"/>
      <c r="H12" s="225" t="s">
        <v>1503</v>
      </c>
      <c r="I12" s="225"/>
    </row>
    <row r="13" spans="2:9" ht="12.75">
      <c r="B13" s="225"/>
      <c r="C13" s="225"/>
      <c r="D13" s="225" t="s">
        <v>1504</v>
      </c>
      <c r="E13" s="225"/>
      <c r="F13" s="225" t="s">
        <v>1504</v>
      </c>
      <c r="G13" s="225"/>
      <c r="H13" s="225"/>
      <c r="I13" s="225"/>
    </row>
    <row r="14" spans="2:9" ht="12.75">
      <c r="B14" s="225"/>
      <c r="C14" s="225"/>
      <c r="D14" s="225"/>
      <c r="E14" s="225"/>
      <c r="F14" s="225"/>
      <c r="G14" s="225"/>
      <c r="H14" s="225"/>
      <c r="I14" s="225"/>
    </row>
    <row r="15" spans="2:9" ht="12.75">
      <c r="B15" s="225">
        <v>1</v>
      </c>
      <c r="C15" s="225">
        <v>2</v>
      </c>
      <c r="D15" s="1176">
        <v>3</v>
      </c>
      <c r="E15" s="1177"/>
      <c r="F15" s="1176">
        <v>4</v>
      </c>
      <c r="G15" s="1177"/>
      <c r="H15" s="225">
        <v>5</v>
      </c>
      <c r="I15" s="225"/>
    </row>
    <row r="16" spans="2:9" ht="12.75">
      <c r="B16" s="225"/>
      <c r="C16" s="225"/>
      <c r="D16" s="225"/>
      <c r="E16" s="225"/>
      <c r="F16" s="225"/>
      <c r="G16" s="225"/>
      <c r="H16" s="225"/>
      <c r="I16" s="225"/>
    </row>
    <row r="17" spans="2:9" ht="12.75">
      <c r="B17" s="225">
        <v>1</v>
      </c>
      <c r="C17" s="286" t="s">
        <v>1917</v>
      </c>
      <c r="D17" s="1165">
        <f>'Tariff calc 24-25'!O22</f>
        <v>49.332</v>
      </c>
      <c r="E17" s="1166"/>
      <c r="F17" s="1165">
        <f>'Tariff calc 24-25'!O23</f>
        <v>115.108</v>
      </c>
      <c r="G17" s="1166"/>
      <c r="H17" s="214">
        <v>70</v>
      </c>
      <c r="I17" s="214">
        <v>30</v>
      </c>
    </row>
    <row r="18" spans="2:9" ht="12.75">
      <c r="B18" s="225">
        <v>2</v>
      </c>
      <c r="C18" s="286" t="s">
        <v>1918</v>
      </c>
      <c r="D18" s="1165">
        <f>'Tariff calc 24-25'!P22</f>
        <v>49.332</v>
      </c>
      <c r="E18" s="1166"/>
      <c r="F18" s="1165">
        <f>'Tariff calc 24-25'!P23</f>
        <v>115.108</v>
      </c>
      <c r="G18" s="1166"/>
      <c r="H18" s="214">
        <v>70</v>
      </c>
      <c r="I18" s="214">
        <v>30</v>
      </c>
    </row>
    <row r="19" spans="2:9" ht="12.75">
      <c r="B19" s="340">
        <v>3</v>
      </c>
      <c r="C19" s="286" t="s">
        <v>1920</v>
      </c>
      <c r="D19" s="1165">
        <f>'Tariff calc 24-25'!Q22</f>
        <v>49.332</v>
      </c>
      <c r="E19" s="1166"/>
      <c r="F19" s="1165">
        <f>'Tariff calc 24-25'!Q23</f>
        <v>115.108</v>
      </c>
      <c r="G19" s="1166"/>
      <c r="H19" s="214">
        <v>70</v>
      </c>
      <c r="I19" s="214">
        <v>30</v>
      </c>
    </row>
    <row r="20" spans="2:9" ht="12.75">
      <c r="B20" s="225">
        <v>4</v>
      </c>
      <c r="C20" s="225" t="s">
        <v>1919</v>
      </c>
      <c r="D20" s="1165">
        <f>'Tariff calc 24-25'!R22</f>
        <v>49.332</v>
      </c>
      <c r="E20" s="1166"/>
      <c r="F20" s="1165">
        <f>'Tariff calc 24-25'!R23</f>
        <v>115.108</v>
      </c>
      <c r="G20" s="1166"/>
      <c r="H20" s="214">
        <v>70</v>
      </c>
      <c r="I20" s="214">
        <v>30</v>
      </c>
    </row>
    <row r="21" spans="2:9" ht="12.75">
      <c r="B21" s="225">
        <v>5</v>
      </c>
      <c r="C21" s="225" t="s">
        <v>1921</v>
      </c>
      <c r="D21" s="1165">
        <f>'Tariff calc 24-25'!S22</f>
        <v>49.332</v>
      </c>
      <c r="E21" s="1166"/>
      <c r="F21" s="1165">
        <f>'Tariff calc 24-25'!S23</f>
        <v>115.108</v>
      </c>
      <c r="G21" s="1166"/>
      <c r="H21" s="214">
        <v>70</v>
      </c>
      <c r="I21" s="214">
        <v>30</v>
      </c>
    </row>
    <row r="22" ht="12.75">
      <c r="H22" s="198" t="s">
        <v>1508</v>
      </c>
    </row>
    <row r="24" spans="3:4" ht="12.75">
      <c r="C24" s="90" t="s">
        <v>1497</v>
      </c>
      <c r="D24" s="198" t="s">
        <v>1404</v>
      </c>
    </row>
    <row r="25" ht="12.75">
      <c r="C25" s="201" t="s">
        <v>2027</v>
      </c>
    </row>
    <row r="26" spans="3:4" ht="12.75">
      <c r="C26" s="90" t="s">
        <v>1509</v>
      </c>
      <c r="D26" s="90" t="s">
        <v>1510</v>
      </c>
    </row>
    <row r="29" ht="12.75">
      <c r="H29" s="90" t="s">
        <v>1511</v>
      </c>
    </row>
    <row r="31" spans="2:10" ht="12.75">
      <c r="B31" s="225" t="s">
        <v>1400</v>
      </c>
      <c r="C31" s="225" t="s">
        <v>1509</v>
      </c>
      <c r="D31" s="225" t="s">
        <v>1512</v>
      </c>
      <c r="E31" s="225"/>
      <c r="F31" s="225" t="s">
        <v>1513</v>
      </c>
      <c r="G31" s="225"/>
      <c r="H31" s="225" t="s">
        <v>1514</v>
      </c>
      <c r="I31" s="225"/>
      <c r="J31" s="225"/>
    </row>
    <row r="32" spans="2:10" ht="12.75">
      <c r="B32" s="225"/>
      <c r="C32" s="225"/>
      <c r="D32" s="225" t="s">
        <v>1515</v>
      </c>
      <c r="E32" s="225"/>
      <c r="F32" s="225"/>
      <c r="G32" s="225"/>
      <c r="H32" s="225"/>
      <c r="I32" s="225"/>
      <c r="J32" s="225"/>
    </row>
    <row r="33" spans="2:10" ht="12.75">
      <c r="B33" s="225">
        <v>1</v>
      </c>
      <c r="C33" s="225">
        <v>2</v>
      </c>
      <c r="D33" s="225">
        <v>3</v>
      </c>
      <c r="E33" s="225"/>
      <c r="F33" s="225">
        <v>4</v>
      </c>
      <c r="G33" s="225"/>
      <c r="H33" s="225">
        <v>5</v>
      </c>
      <c r="I33" s="225"/>
      <c r="J33" s="225"/>
    </row>
    <row r="34" spans="2:10" ht="12.75">
      <c r="B34" s="225"/>
      <c r="C34" s="225"/>
      <c r="D34" s="225"/>
      <c r="E34" s="225"/>
      <c r="F34" s="225"/>
      <c r="G34" s="225"/>
      <c r="H34" s="225"/>
      <c r="I34" s="225"/>
      <c r="J34" s="225"/>
    </row>
    <row r="35" spans="2:10" ht="12.75">
      <c r="B35" s="225">
        <v>1</v>
      </c>
      <c r="C35" s="225" t="s">
        <v>1516</v>
      </c>
      <c r="D35" s="225"/>
      <c r="E35" s="1167" t="s">
        <v>1510</v>
      </c>
      <c r="F35" s="1168"/>
      <c r="G35" s="1169"/>
      <c r="H35" s="225"/>
      <c r="I35" s="225"/>
      <c r="J35" s="225"/>
    </row>
    <row r="36" spans="2:10" ht="12.75">
      <c r="B36" s="225">
        <v>2</v>
      </c>
      <c r="C36" s="225" t="s">
        <v>1517</v>
      </c>
      <c r="D36" s="225"/>
      <c r="E36" s="1170"/>
      <c r="F36" s="1171"/>
      <c r="G36" s="1172"/>
      <c r="H36" s="225"/>
      <c r="I36" s="225"/>
      <c r="J36" s="225"/>
    </row>
    <row r="37" spans="2:10" ht="12.75">
      <c r="B37" s="225">
        <v>3</v>
      </c>
      <c r="C37" s="250" t="s">
        <v>1518</v>
      </c>
      <c r="D37" s="225"/>
      <c r="E37" s="1170"/>
      <c r="F37" s="1171"/>
      <c r="G37" s="1172"/>
      <c r="H37" s="225"/>
      <c r="I37" s="225"/>
      <c r="J37" s="225"/>
    </row>
    <row r="38" spans="2:10" ht="12.75">
      <c r="B38" s="225">
        <v>4</v>
      </c>
      <c r="C38" s="250" t="s">
        <v>1519</v>
      </c>
      <c r="D38" s="225"/>
      <c r="E38" s="1170"/>
      <c r="F38" s="1171"/>
      <c r="G38" s="1172"/>
      <c r="H38" s="225"/>
      <c r="I38" s="225"/>
      <c r="J38" s="225"/>
    </row>
    <row r="39" spans="2:10" ht="12.75">
      <c r="B39" s="225">
        <v>5</v>
      </c>
      <c r="C39" s="225" t="s">
        <v>1509</v>
      </c>
      <c r="D39" s="225"/>
      <c r="E39" s="1173"/>
      <c r="F39" s="1174"/>
      <c r="G39" s="1175"/>
      <c r="H39" s="225"/>
      <c r="I39" s="225"/>
      <c r="J39" s="225"/>
    </row>
    <row r="41" ht="12.75">
      <c r="C41" s="90" t="s">
        <v>1520</v>
      </c>
    </row>
  </sheetData>
  <sheetProtection/>
  <mergeCells count="13">
    <mergeCell ref="F18:G18"/>
    <mergeCell ref="D21:E21"/>
    <mergeCell ref="F20:G20"/>
    <mergeCell ref="F21:G21"/>
    <mergeCell ref="D19:E19"/>
    <mergeCell ref="F19:G19"/>
    <mergeCell ref="E35:G39"/>
    <mergeCell ref="D20:E20"/>
    <mergeCell ref="D15:E15"/>
    <mergeCell ref="F15:G15"/>
    <mergeCell ref="D17:E17"/>
    <mergeCell ref="F17:G17"/>
    <mergeCell ref="D18:E18"/>
  </mergeCells>
  <printOptions/>
  <pageMargins left="0.75" right="0.75" top="1" bottom="1" header="0.5" footer="0.5"/>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4:J49"/>
  <sheetViews>
    <sheetView view="pageBreakPreview" zoomScaleSheetLayoutView="100" zoomScalePageLayoutView="0" workbookViewId="0" topLeftCell="A49">
      <selection activeCell="A4" sqref="A4:J49"/>
    </sheetView>
  </sheetViews>
  <sheetFormatPr defaultColWidth="9.33203125" defaultRowHeight="12.75"/>
  <cols>
    <col min="1" max="1" width="5.66015625" style="90" customWidth="1"/>
    <col min="2" max="2" width="9.33203125" style="90" customWidth="1"/>
    <col min="3" max="3" width="21" style="90" customWidth="1"/>
    <col min="4" max="4" width="9.33203125" style="90" customWidth="1"/>
    <col min="5" max="5" width="6" style="90" customWidth="1"/>
    <col min="6" max="6" width="12" style="90" customWidth="1"/>
    <col min="7" max="7" width="16.5" style="90" customWidth="1"/>
    <col min="8" max="8" width="12" style="90" customWidth="1"/>
    <col min="9" max="9" width="13.33203125" style="90" customWidth="1"/>
    <col min="10" max="10" width="17" style="90" customWidth="1"/>
    <col min="11" max="16384" width="9.33203125" style="90" customWidth="1"/>
  </cols>
  <sheetData>
    <row r="4" spans="2:8" ht="15">
      <c r="B4" s="338"/>
      <c r="C4" s="338"/>
      <c r="D4" s="338"/>
      <c r="E4" s="338"/>
      <c r="F4" s="338"/>
      <c r="G4" s="338"/>
      <c r="H4" s="339" t="s">
        <v>1495</v>
      </c>
    </row>
    <row r="5" spans="2:7" ht="15">
      <c r="B5" s="338"/>
      <c r="C5" s="338"/>
      <c r="D5" s="338"/>
      <c r="E5" s="338"/>
      <c r="F5" s="338"/>
      <c r="G5" s="338"/>
    </row>
    <row r="6" spans="2:7" ht="15">
      <c r="B6" s="338"/>
      <c r="C6" s="338" t="s">
        <v>1494</v>
      </c>
      <c r="D6" s="338"/>
      <c r="E6" s="338"/>
      <c r="F6" s="338"/>
      <c r="G6" s="338"/>
    </row>
    <row r="8" spans="2:4" ht="12.75">
      <c r="B8" s="90" t="s">
        <v>1493</v>
      </c>
      <c r="D8" s="198" t="s">
        <v>1404</v>
      </c>
    </row>
    <row r="9" spans="2:4" ht="12.75">
      <c r="B9" s="90" t="s">
        <v>1403</v>
      </c>
      <c r="D9" s="198" t="s">
        <v>1402</v>
      </c>
    </row>
    <row r="10" spans="2:7" ht="12.75">
      <c r="B10" s="90" t="s">
        <v>1492</v>
      </c>
      <c r="C10" s="90" t="s">
        <v>1491</v>
      </c>
      <c r="F10" s="90" t="s">
        <v>1401</v>
      </c>
      <c r="G10" s="90" t="s">
        <v>1490</v>
      </c>
    </row>
    <row r="13" spans="2:4" ht="12.75">
      <c r="B13" s="90" t="s">
        <v>1489</v>
      </c>
      <c r="D13" s="201" t="s">
        <v>1488</v>
      </c>
    </row>
    <row r="15" spans="1:9" ht="34.5" customHeight="1">
      <c r="A15" s="90" t="s">
        <v>1487</v>
      </c>
      <c r="B15" s="1178" t="s">
        <v>1486</v>
      </c>
      <c r="C15" s="1179"/>
      <c r="D15" s="1179"/>
      <c r="E15" s="1180"/>
      <c r="F15" s="1178" t="s">
        <v>1485</v>
      </c>
      <c r="G15" s="1179"/>
      <c r="H15" s="1179"/>
      <c r="I15" s="1180"/>
    </row>
    <row r="16" spans="1:9" ht="12.75">
      <c r="A16" s="90" t="s">
        <v>1484</v>
      </c>
      <c r="B16" s="1181" t="s">
        <v>1483</v>
      </c>
      <c r="C16" s="1181"/>
      <c r="D16" s="1181"/>
      <c r="E16" s="1181"/>
      <c r="F16" s="1135" t="s">
        <v>1482</v>
      </c>
      <c r="G16" s="1135"/>
      <c r="H16" s="1135"/>
      <c r="I16" s="1135"/>
    </row>
    <row r="17" spans="1:9" ht="12.75">
      <c r="A17" s="90" t="s">
        <v>1481</v>
      </c>
      <c r="B17" s="1181" t="s">
        <v>1480</v>
      </c>
      <c r="C17" s="1181"/>
      <c r="D17" s="1181"/>
      <c r="E17" s="1181"/>
      <c r="F17" s="1135"/>
      <c r="G17" s="1135"/>
      <c r="H17" s="1135"/>
      <c r="I17" s="1135"/>
    </row>
    <row r="18" spans="1:9" ht="12.75">
      <c r="A18" s="90" t="s">
        <v>1479</v>
      </c>
      <c r="B18" s="1181" t="s">
        <v>1478</v>
      </c>
      <c r="C18" s="1181"/>
      <c r="D18" s="1181"/>
      <c r="E18" s="1181"/>
      <c r="F18" s="1135" t="s">
        <v>1477</v>
      </c>
      <c r="G18" s="1135"/>
      <c r="H18" s="1135"/>
      <c r="I18" s="1135"/>
    </row>
    <row r="19" spans="1:9" ht="12.75">
      <c r="A19" s="90" t="s">
        <v>1476</v>
      </c>
      <c r="B19" s="1181" t="s">
        <v>1475</v>
      </c>
      <c r="C19" s="1181"/>
      <c r="D19" s="1181"/>
      <c r="E19" s="1181"/>
      <c r="F19" s="1135" t="s">
        <v>1474</v>
      </c>
      <c r="G19" s="1135"/>
      <c r="H19" s="1135"/>
      <c r="I19" s="1135"/>
    </row>
    <row r="22" spans="2:9" ht="12.75">
      <c r="B22" s="1176" t="s">
        <v>1473</v>
      </c>
      <c r="C22" s="1185"/>
      <c r="D22" s="1177"/>
      <c r="E22" s="1176" t="s">
        <v>1472</v>
      </c>
      <c r="F22" s="1177"/>
      <c r="G22" s="225" t="s">
        <v>1471</v>
      </c>
      <c r="H22" s="1176" t="s">
        <v>1470</v>
      </c>
      <c r="I22" s="1177"/>
    </row>
    <row r="23" spans="2:9" ht="12.75">
      <c r="B23" s="225"/>
      <c r="C23" s="225"/>
      <c r="D23" s="225"/>
      <c r="E23" s="225"/>
      <c r="F23" s="225"/>
      <c r="G23" s="225"/>
      <c r="H23" s="225"/>
      <c r="I23" s="225"/>
    </row>
    <row r="24" spans="2:9" ht="12.75">
      <c r="B24" s="1135" t="s">
        <v>1469</v>
      </c>
      <c r="C24" s="1135"/>
      <c r="D24" s="1135"/>
      <c r="E24" s="1176" t="s">
        <v>1468</v>
      </c>
      <c r="F24" s="1177"/>
      <c r="G24" s="225"/>
      <c r="H24" s="225"/>
      <c r="I24" s="225"/>
    </row>
    <row r="26" spans="1:10" s="198" customFormat="1" ht="12.75">
      <c r="A26" s="336" t="s">
        <v>1467</v>
      </c>
      <c r="B26" s="1182" t="s">
        <v>1355</v>
      </c>
      <c r="C26" s="1184"/>
      <c r="D26" s="336" t="s">
        <v>1466</v>
      </c>
      <c r="E26" s="336" t="s">
        <v>1465</v>
      </c>
      <c r="F26" s="336" t="s">
        <v>1464</v>
      </c>
      <c r="G26" s="1182" t="s">
        <v>1463</v>
      </c>
      <c r="H26" s="1183"/>
      <c r="I26" s="1184"/>
      <c r="J26" s="336" t="s">
        <v>1462</v>
      </c>
    </row>
    <row r="27" spans="1:10" ht="12.75">
      <c r="A27" s="225"/>
      <c r="B27" s="1176"/>
      <c r="C27" s="1177"/>
      <c r="D27" s="225"/>
      <c r="E27" s="225"/>
      <c r="F27" s="225"/>
      <c r="G27" s="336" t="s">
        <v>1357</v>
      </c>
      <c r="H27" s="336" t="s">
        <v>1356</v>
      </c>
      <c r="I27" s="336" t="s">
        <v>1911</v>
      </c>
      <c r="J27" s="336" t="s">
        <v>1912</v>
      </c>
    </row>
    <row r="28" spans="1:10" ht="12.75">
      <c r="A28" s="225"/>
      <c r="B28" s="1176"/>
      <c r="C28" s="1177"/>
      <c r="D28" s="225"/>
      <c r="E28" s="225"/>
      <c r="F28" s="225"/>
      <c r="G28" s="336" t="s">
        <v>1461</v>
      </c>
      <c r="H28" s="337" t="s">
        <v>1461</v>
      </c>
      <c r="I28" s="336" t="s">
        <v>1461</v>
      </c>
      <c r="J28" s="336" t="s">
        <v>1461</v>
      </c>
    </row>
    <row r="29" spans="1:10" s="198" customFormat="1" ht="12.75">
      <c r="A29" s="336">
        <v>1</v>
      </c>
      <c r="B29" s="1182">
        <v>2</v>
      </c>
      <c r="C29" s="1184"/>
      <c r="D29" s="336">
        <v>3</v>
      </c>
      <c r="E29" s="336">
        <v>4</v>
      </c>
      <c r="F29" s="336">
        <v>5</v>
      </c>
      <c r="G29" s="336">
        <v>6</v>
      </c>
      <c r="H29" s="336">
        <v>7</v>
      </c>
      <c r="I29" s="336">
        <v>8</v>
      </c>
      <c r="J29" s="336">
        <v>9</v>
      </c>
    </row>
    <row r="30" spans="1:10" s="198" customFormat="1" ht="12.75">
      <c r="A30" s="330"/>
      <c r="B30" s="1182"/>
      <c r="C30" s="1184"/>
      <c r="D30" s="330"/>
      <c r="E30" s="330"/>
      <c r="F30" s="330"/>
      <c r="G30" s="330"/>
      <c r="H30" s="330"/>
      <c r="I30" s="330"/>
      <c r="J30" s="231"/>
    </row>
    <row r="31" spans="1:10" ht="12.75">
      <c r="A31" s="225">
        <v>1</v>
      </c>
      <c r="B31" s="225" t="s">
        <v>1460</v>
      </c>
      <c r="C31" s="225"/>
      <c r="D31" s="225" t="s">
        <v>1353</v>
      </c>
      <c r="E31" s="225"/>
      <c r="F31" s="225"/>
      <c r="G31" s="217">
        <v>32.5</v>
      </c>
      <c r="H31" s="217">
        <v>32.5</v>
      </c>
      <c r="I31" s="217">
        <v>32.5</v>
      </c>
      <c r="J31" s="217">
        <v>32.5</v>
      </c>
    </row>
    <row r="32" spans="1:10" ht="12.75">
      <c r="A32" s="225">
        <v>2</v>
      </c>
      <c r="B32" s="1186" t="s">
        <v>1219</v>
      </c>
      <c r="C32" s="1187"/>
      <c r="D32" s="225" t="s">
        <v>1284</v>
      </c>
      <c r="E32" s="225"/>
      <c r="F32" s="225"/>
      <c r="G32" s="217">
        <v>80.94</v>
      </c>
      <c r="H32" s="217">
        <v>88.15</v>
      </c>
      <c r="I32" s="217">
        <v>82.61</v>
      </c>
      <c r="J32" s="217"/>
    </row>
    <row r="33" spans="1:10" ht="12.75">
      <c r="A33" s="225">
        <v>3</v>
      </c>
      <c r="B33" s="225" t="s">
        <v>1352</v>
      </c>
      <c r="C33" s="225"/>
      <c r="D33" s="225" t="s">
        <v>1454</v>
      </c>
      <c r="E33" s="225" t="s">
        <v>1459</v>
      </c>
      <c r="F33" s="225"/>
      <c r="G33" s="217">
        <v>230.45</v>
      </c>
      <c r="H33" s="217">
        <v>250.97</v>
      </c>
      <c r="I33" s="217">
        <v>235.19</v>
      </c>
      <c r="J33" s="217">
        <v>125</v>
      </c>
    </row>
    <row r="34" spans="1:10" ht="12.75">
      <c r="A34" s="225">
        <v>4</v>
      </c>
      <c r="B34" s="225" t="s">
        <v>1456</v>
      </c>
      <c r="C34" s="225"/>
      <c r="D34" s="225" t="s">
        <v>1458</v>
      </c>
      <c r="E34" s="1188" t="s">
        <v>1457</v>
      </c>
      <c r="F34" s="225"/>
      <c r="G34" s="217">
        <v>5.55</v>
      </c>
      <c r="H34" s="217">
        <v>5.43</v>
      </c>
      <c r="I34" s="217">
        <v>5.48</v>
      </c>
      <c r="J34" s="217">
        <v>5.47</v>
      </c>
    </row>
    <row r="35" spans="1:10" ht="12.75">
      <c r="A35" s="225">
        <v>5</v>
      </c>
      <c r="B35" s="225" t="s">
        <v>1456</v>
      </c>
      <c r="C35" s="225"/>
      <c r="D35" s="225" t="s">
        <v>1454</v>
      </c>
      <c r="E35" s="1189"/>
      <c r="F35" s="225"/>
      <c r="G35" s="217">
        <v>12.78</v>
      </c>
      <c r="H35" s="217">
        <v>13.62</v>
      </c>
      <c r="I35" s="392">
        <v>12.896</v>
      </c>
      <c r="J35" s="217">
        <v>6.83</v>
      </c>
    </row>
    <row r="36" spans="1:10" ht="12.75">
      <c r="A36" s="225">
        <v>6</v>
      </c>
      <c r="B36" s="225" t="s">
        <v>1455</v>
      </c>
      <c r="C36" s="225"/>
      <c r="D36" s="225" t="s">
        <v>1454</v>
      </c>
      <c r="E36" s="225" t="s">
        <v>1453</v>
      </c>
      <c r="F36" s="225" t="s">
        <v>1452</v>
      </c>
      <c r="G36" s="217">
        <f>G33-G35</f>
        <v>217.67</v>
      </c>
      <c r="H36" s="217">
        <v>237.35</v>
      </c>
      <c r="I36" s="217">
        <f>I33-I35</f>
        <v>222.29399999999998</v>
      </c>
      <c r="J36" s="217">
        <f>J33-J35</f>
        <v>118.17</v>
      </c>
    </row>
    <row r="37" spans="1:10" ht="12.75">
      <c r="A37" s="225">
        <v>7</v>
      </c>
      <c r="B37" s="225" t="s">
        <v>1451</v>
      </c>
      <c r="C37" s="225"/>
      <c r="D37" s="225" t="s">
        <v>1450</v>
      </c>
      <c r="E37" s="225" t="s">
        <v>1449</v>
      </c>
      <c r="F37" s="225"/>
      <c r="G37" s="333">
        <v>2780.71</v>
      </c>
      <c r="H37" s="333">
        <v>2644.8</v>
      </c>
      <c r="I37" s="333">
        <v>2735.1</v>
      </c>
      <c r="J37" s="333">
        <v>2685.83</v>
      </c>
    </row>
    <row r="38" spans="1:10" ht="12.75">
      <c r="A38" s="225">
        <v>8</v>
      </c>
      <c r="B38" s="334" t="s">
        <v>1448</v>
      </c>
      <c r="C38" s="225"/>
      <c r="D38" s="225" t="s">
        <v>1447</v>
      </c>
      <c r="E38" s="225" t="s">
        <v>1446</v>
      </c>
      <c r="F38" s="225"/>
      <c r="G38" s="1016"/>
      <c r="H38" s="333"/>
      <c r="I38" s="333"/>
      <c r="J38" s="333"/>
    </row>
    <row r="39" spans="1:10" ht="12.75">
      <c r="A39" s="225">
        <v>9</v>
      </c>
      <c r="B39" s="334" t="s">
        <v>1445</v>
      </c>
      <c r="C39" s="225"/>
      <c r="D39" s="225" t="s">
        <v>1444</v>
      </c>
      <c r="E39" s="225" t="s">
        <v>1443</v>
      </c>
      <c r="F39" s="225"/>
      <c r="G39" s="1016"/>
      <c r="H39" s="333"/>
      <c r="I39" s="333"/>
      <c r="J39" s="333"/>
    </row>
    <row r="40" spans="1:10" ht="12.75">
      <c r="A40" s="225">
        <v>10</v>
      </c>
      <c r="B40" s="334" t="s">
        <v>1442</v>
      </c>
      <c r="C40" s="225"/>
      <c r="D40" s="225" t="s">
        <v>1441</v>
      </c>
      <c r="E40" s="225" t="s">
        <v>1440</v>
      </c>
      <c r="F40" s="225"/>
      <c r="G40" s="333">
        <v>10824.94</v>
      </c>
      <c r="H40" s="333">
        <v>10823.64</v>
      </c>
      <c r="I40" s="333">
        <v>10834.86</v>
      </c>
      <c r="J40" s="333">
        <v>10870.22</v>
      </c>
    </row>
    <row r="41" spans="1:10" ht="12.75">
      <c r="A41" s="225">
        <v>11</v>
      </c>
      <c r="B41" s="334" t="s">
        <v>1439</v>
      </c>
      <c r="C41" s="225"/>
      <c r="D41" s="225" t="s">
        <v>1432</v>
      </c>
      <c r="E41" s="225" t="s">
        <v>1438</v>
      </c>
      <c r="F41" s="225" t="s">
        <v>1437</v>
      </c>
      <c r="G41" s="333">
        <f>G33*G37</f>
        <v>640814.6195</v>
      </c>
      <c r="H41" s="333">
        <f>H33*H37</f>
        <v>663765.456</v>
      </c>
      <c r="I41" s="333">
        <f>I33*I37</f>
        <v>643268.169</v>
      </c>
      <c r="J41" s="333">
        <f>J33*J37</f>
        <v>335728.75</v>
      </c>
    </row>
    <row r="42" spans="1:10" ht="12.75">
      <c r="A42" s="225">
        <v>12</v>
      </c>
      <c r="B42" s="334" t="s">
        <v>1436</v>
      </c>
      <c r="C42" s="225"/>
      <c r="D42" s="225" t="s">
        <v>1432</v>
      </c>
      <c r="E42" s="225" t="s">
        <v>1435</v>
      </c>
      <c r="F42" s="225" t="s">
        <v>1434</v>
      </c>
      <c r="G42" s="333"/>
      <c r="H42" s="333"/>
      <c r="I42" s="333"/>
      <c r="J42" s="333"/>
    </row>
    <row r="43" spans="1:10" ht="12.75">
      <c r="A43" s="225">
        <v>13</v>
      </c>
      <c r="B43" s="334" t="s">
        <v>1433</v>
      </c>
      <c r="C43" s="225"/>
      <c r="D43" s="225" t="s">
        <v>1432</v>
      </c>
      <c r="E43" s="225" t="s">
        <v>1431</v>
      </c>
      <c r="F43" s="225" t="s">
        <v>1430</v>
      </c>
      <c r="G43" s="333"/>
      <c r="H43" s="333"/>
      <c r="I43" s="333"/>
      <c r="J43" s="333"/>
    </row>
    <row r="44" spans="1:10" ht="12.75">
      <c r="A44" s="225">
        <v>14</v>
      </c>
      <c r="B44" s="334" t="s">
        <v>1429</v>
      </c>
      <c r="C44" s="225"/>
      <c r="D44" s="225" t="s">
        <v>1428</v>
      </c>
      <c r="E44" s="225" t="s">
        <v>1427</v>
      </c>
      <c r="F44" s="225"/>
      <c r="G44" s="333"/>
      <c r="H44" s="333"/>
      <c r="I44" s="333"/>
      <c r="J44" s="333"/>
    </row>
    <row r="45" spans="1:10" ht="12.75">
      <c r="A45" s="225">
        <v>15</v>
      </c>
      <c r="B45" s="334" t="s">
        <v>1426</v>
      </c>
      <c r="C45" s="225"/>
      <c r="D45" s="225" t="s">
        <v>1425</v>
      </c>
      <c r="E45" s="225" t="s">
        <v>1424</v>
      </c>
      <c r="F45" s="225" t="s">
        <v>1423</v>
      </c>
      <c r="G45" s="333">
        <v>59197.98</v>
      </c>
      <c r="H45" s="333">
        <f>(H41*1000)/H40</f>
        <v>61325.52967393594</v>
      </c>
      <c r="I45" s="333">
        <v>59369.816</v>
      </c>
      <c r="J45" s="333">
        <v>30884.443</v>
      </c>
    </row>
    <row r="46" spans="1:10" ht="12.75">
      <c r="A46" s="225">
        <v>16</v>
      </c>
      <c r="B46" s="334" t="s">
        <v>1422</v>
      </c>
      <c r="C46" s="225"/>
      <c r="D46" s="225" t="s">
        <v>1421</v>
      </c>
      <c r="E46" s="225" t="s">
        <v>1420</v>
      </c>
      <c r="F46" s="225"/>
      <c r="G46" s="333"/>
      <c r="H46" s="333"/>
      <c r="I46" s="333"/>
      <c r="J46" s="333"/>
    </row>
    <row r="47" spans="1:10" ht="12.75">
      <c r="A47" s="225">
        <v>17</v>
      </c>
      <c r="B47" s="225" t="s">
        <v>1419</v>
      </c>
      <c r="C47" s="225"/>
      <c r="D47" s="225" t="s">
        <v>1418</v>
      </c>
      <c r="E47" s="225" t="s">
        <v>1417</v>
      </c>
      <c r="F47" s="225"/>
      <c r="G47" s="333">
        <v>7.92</v>
      </c>
      <c r="H47" s="333">
        <v>9.74</v>
      </c>
      <c r="I47" s="333">
        <v>31.34</v>
      </c>
      <c r="J47" s="333">
        <v>29.58</v>
      </c>
    </row>
    <row r="48" spans="1:10" ht="12.75">
      <c r="A48" s="225">
        <v>18</v>
      </c>
      <c r="B48" s="225" t="s">
        <v>1416</v>
      </c>
      <c r="C48" s="225"/>
      <c r="D48" s="225" t="s">
        <v>1415</v>
      </c>
      <c r="E48" s="225" t="s">
        <v>1414</v>
      </c>
      <c r="F48" s="225" t="s">
        <v>1413</v>
      </c>
      <c r="G48" s="333">
        <f>(G47*G45)/100</f>
        <v>4688.480016</v>
      </c>
      <c r="H48" s="333">
        <f>(H47*H45)/100</f>
        <v>5973.10659024136</v>
      </c>
      <c r="I48" s="333">
        <f>(I47*I45)/100</f>
        <v>18606.5003344</v>
      </c>
      <c r="J48" s="333">
        <f>(J47*J45)/100</f>
        <v>9135.618239399999</v>
      </c>
    </row>
    <row r="49" spans="1:10" ht="12.75">
      <c r="A49" s="225">
        <v>19</v>
      </c>
      <c r="B49" s="225" t="s">
        <v>1412</v>
      </c>
      <c r="C49" s="225"/>
      <c r="D49" s="225" t="s">
        <v>1411</v>
      </c>
      <c r="E49" s="225" t="s">
        <v>1410</v>
      </c>
      <c r="F49" s="225" t="s">
        <v>1409</v>
      </c>
      <c r="G49" s="333">
        <f>G48/(G36*10)</f>
        <v>2.1539394569761567</v>
      </c>
      <c r="H49" s="333">
        <f>H48/(H36*10)</f>
        <v>2.516581668523851</v>
      </c>
      <c r="I49" s="333">
        <f>I48/(I36*10)</f>
        <v>8.370221568913243</v>
      </c>
      <c r="J49" s="333">
        <f>J48/(J36*10)</f>
        <v>7.730911601421679</v>
      </c>
    </row>
  </sheetData>
  <sheetProtection/>
  <mergeCells count="23">
    <mergeCell ref="B29:C29"/>
    <mergeCell ref="B30:C30"/>
    <mergeCell ref="B32:C32"/>
    <mergeCell ref="E34:E35"/>
    <mergeCell ref="B24:D24"/>
    <mergeCell ref="E24:F24"/>
    <mergeCell ref="B26:C26"/>
    <mergeCell ref="G26:I26"/>
    <mergeCell ref="B27:C27"/>
    <mergeCell ref="B28:C28"/>
    <mergeCell ref="B18:E18"/>
    <mergeCell ref="F18:I18"/>
    <mergeCell ref="B19:E19"/>
    <mergeCell ref="F19:I19"/>
    <mergeCell ref="B22:D22"/>
    <mergeCell ref="E22:F22"/>
    <mergeCell ref="H22:I22"/>
    <mergeCell ref="B15:E15"/>
    <mergeCell ref="F15:I15"/>
    <mergeCell ref="B16:E16"/>
    <mergeCell ref="F16:I16"/>
    <mergeCell ref="B17:E17"/>
    <mergeCell ref="F17:I17"/>
  </mergeCells>
  <printOptions horizontalCentered="1" verticalCentered="1"/>
  <pageMargins left="0.28" right="0.16" top="0.53" bottom="0.59" header="0.5" footer="0.5"/>
  <pageSetup horizontalDpi="600" verticalDpi="600" orientation="portrait" scale="85" r:id="rId1"/>
</worksheet>
</file>

<file path=xl/worksheets/sheet13.xml><?xml version="1.0" encoding="utf-8"?>
<worksheet xmlns="http://schemas.openxmlformats.org/spreadsheetml/2006/main" xmlns:r="http://schemas.openxmlformats.org/officeDocument/2006/relationships">
  <dimension ref="B3:H47"/>
  <sheetViews>
    <sheetView view="pageBreakPreview" zoomScaleSheetLayoutView="100" zoomScalePageLayoutView="0" workbookViewId="0" topLeftCell="A41">
      <selection activeCell="A3" sqref="A3:H46"/>
    </sheetView>
  </sheetViews>
  <sheetFormatPr defaultColWidth="9.33203125" defaultRowHeight="12.75"/>
  <cols>
    <col min="1" max="1" width="2.33203125" style="90" customWidth="1"/>
    <col min="2" max="2" width="6.83203125" style="90" customWidth="1"/>
    <col min="3" max="3" width="52.66015625" style="90" customWidth="1"/>
    <col min="4" max="4" width="9.33203125" style="90" customWidth="1"/>
    <col min="5" max="5" width="8.5" style="90" customWidth="1"/>
    <col min="6" max="6" width="9.33203125" style="90" hidden="1" customWidth="1"/>
    <col min="7" max="7" width="13.33203125" style="90" customWidth="1"/>
    <col min="8" max="16384" width="9.33203125" style="90" customWidth="1"/>
  </cols>
  <sheetData>
    <row r="3" spans="3:8" s="198" customFormat="1" ht="12.75">
      <c r="C3" s="332"/>
      <c r="F3" s="1191" t="s">
        <v>1407</v>
      </c>
      <c r="G3" s="1191"/>
      <c r="H3" s="332"/>
    </row>
    <row r="4" s="198" customFormat="1" ht="12.75">
      <c r="C4" s="198" t="s">
        <v>1406</v>
      </c>
    </row>
    <row r="5" s="198" customFormat="1" ht="12.75"/>
    <row r="6" s="198" customFormat="1" ht="12.75"/>
    <row r="7" spans="3:4" s="198" customFormat="1" ht="12.75">
      <c r="C7" s="198" t="s">
        <v>1405</v>
      </c>
      <c r="D7" s="198" t="s">
        <v>1404</v>
      </c>
    </row>
    <row r="8" spans="3:4" s="198" customFormat="1" ht="12.75">
      <c r="C8" s="198" t="s">
        <v>1403</v>
      </c>
      <c r="D8" s="198" t="s">
        <v>1402</v>
      </c>
    </row>
    <row r="9" s="198" customFormat="1" ht="12.75"/>
    <row r="10" s="198" customFormat="1" ht="12.75"/>
    <row r="11" s="198" customFormat="1" ht="12.75">
      <c r="D11" s="198" t="s">
        <v>1401</v>
      </c>
    </row>
    <row r="12" s="198" customFormat="1" ht="12.75"/>
    <row r="13" spans="2:7" s="198" customFormat="1" ht="64.5" customHeight="1">
      <c r="B13" s="330" t="s">
        <v>1400</v>
      </c>
      <c r="C13" s="330" t="s">
        <v>1355</v>
      </c>
      <c r="D13" s="253" t="s">
        <v>1399</v>
      </c>
      <c r="E13" s="253" t="s">
        <v>1398</v>
      </c>
      <c r="F13" s="1196" t="s">
        <v>1397</v>
      </c>
      <c r="G13" s="1197"/>
    </row>
    <row r="14" spans="2:7" s="198" customFormat="1" ht="25.5">
      <c r="B14" s="330"/>
      <c r="C14" s="330"/>
      <c r="D14" s="253" t="s">
        <v>1911</v>
      </c>
      <c r="E14" s="253" t="s">
        <v>1912</v>
      </c>
      <c r="F14" s="253" t="s">
        <v>1911</v>
      </c>
      <c r="G14" s="253" t="s">
        <v>1913</v>
      </c>
    </row>
    <row r="15" spans="2:7" s="198" customFormat="1" ht="12.75">
      <c r="B15" s="330"/>
      <c r="C15" s="330"/>
      <c r="D15" s="330"/>
      <c r="E15" s="330"/>
      <c r="F15" s="1194" t="s">
        <v>1396</v>
      </c>
      <c r="G15" s="1195"/>
    </row>
    <row r="16" spans="2:7" ht="12.75">
      <c r="B16" s="225"/>
      <c r="C16" s="225"/>
      <c r="D16" s="225"/>
      <c r="E16" s="225"/>
      <c r="F16" s="225"/>
      <c r="G16" s="225"/>
    </row>
    <row r="17" spans="2:7" ht="12.75">
      <c r="B17" s="225">
        <v>1</v>
      </c>
      <c r="C17" s="225">
        <v>2</v>
      </c>
      <c r="D17" s="214">
        <v>3</v>
      </c>
      <c r="E17" s="214">
        <v>4</v>
      </c>
      <c r="F17" s="214">
        <v>5</v>
      </c>
      <c r="G17" s="214">
        <v>7</v>
      </c>
    </row>
    <row r="18" spans="2:7" ht="12.75">
      <c r="B18" s="225">
        <v>1</v>
      </c>
      <c r="C18" s="330" t="s">
        <v>1395</v>
      </c>
      <c r="D18" s="225"/>
      <c r="E18" s="225"/>
      <c r="F18" s="225"/>
      <c r="G18" s="225"/>
    </row>
    <row r="19" spans="2:7" ht="12.75">
      <c r="B19" s="225">
        <v>1.1</v>
      </c>
      <c r="C19" s="250" t="s">
        <v>1394</v>
      </c>
      <c r="D19" s="217">
        <f>'[1]Tariff calc 15-16 (2)'!G36</f>
        <v>0</v>
      </c>
      <c r="E19" s="217">
        <f>'[1]Tariff calc 15-16 (2)'!H36</f>
        <v>0</v>
      </c>
      <c r="F19" s="217">
        <v>0</v>
      </c>
      <c r="G19" s="217">
        <v>0</v>
      </c>
    </row>
    <row r="20" spans="2:7" ht="12.75">
      <c r="B20" s="225">
        <v>1.2</v>
      </c>
      <c r="C20" s="250" t="s">
        <v>1393</v>
      </c>
      <c r="D20" s="217">
        <v>2.24</v>
      </c>
      <c r="E20" s="217">
        <v>2.24</v>
      </c>
      <c r="F20" s="217">
        <v>3.29</v>
      </c>
      <c r="G20" s="217">
        <f>'Tariff calc 24-25'!S35</f>
        <v>2.244499999999988</v>
      </c>
    </row>
    <row r="21" spans="2:7" ht="12.75">
      <c r="B21" s="225">
        <v>1.3</v>
      </c>
      <c r="C21" s="250" t="s">
        <v>1392</v>
      </c>
      <c r="D21" s="214">
        <v>0</v>
      </c>
      <c r="E21" s="214">
        <v>0</v>
      </c>
      <c r="F21" s="214"/>
      <c r="G21" s="214"/>
    </row>
    <row r="22" spans="2:7" ht="12.75">
      <c r="B22" s="225">
        <v>1.4</v>
      </c>
      <c r="C22" s="250" t="s">
        <v>1321</v>
      </c>
      <c r="D22" s="217">
        <v>10.79</v>
      </c>
      <c r="E22" s="217">
        <v>10.22</v>
      </c>
      <c r="F22" s="217">
        <v>11.2</v>
      </c>
      <c r="G22" s="217">
        <f>'Tariff calc 24-25'!S37</f>
        <v>10.22</v>
      </c>
    </row>
    <row r="23" spans="2:7" ht="12.75">
      <c r="B23" s="225">
        <v>1.5</v>
      </c>
      <c r="C23" s="250" t="s">
        <v>1391</v>
      </c>
      <c r="D23" s="217">
        <v>18.4</v>
      </c>
      <c r="E23" s="217">
        <v>19.65</v>
      </c>
      <c r="F23" s="217">
        <v>18.4</v>
      </c>
      <c r="G23" s="217">
        <f>'Tariff calc 24-25'!S39</f>
        <v>20.982195000000004</v>
      </c>
    </row>
    <row r="24" spans="2:7" ht="12.75">
      <c r="B24" s="225">
        <v>1.6</v>
      </c>
      <c r="C24" s="250" t="s">
        <v>1390</v>
      </c>
      <c r="D24" s="214">
        <v>0</v>
      </c>
      <c r="E24" s="214">
        <v>0</v>
      </c>
      <c r="F24" s="214"/>
      <c r="G24" s="214"/>
    </row>
    <row r="25" spans="2:7" ht="25.5">
      <c r="B25" s="225">
        <v>1.7</v>
      </c>
      <c r="C25" s="250" t="s">
        <v>1389</v>
      </c>
      <c r="D25" s="217">
        <v>2.7</v>
      </c>
      <c r="E25" s="217">
        <v>4.55</v>
      </c>
      <c r="F25" s="217">
        <v>3.01</v>
      </c>
      <c r="G25" s="217">
        <f>'Tariff calc 24-25'!S38</f>
        <v>5.165283348749999</v>
      </c>
    </row>
    <row r="26" spans="2:7" ht="12.75">
      <c r="B26" s="225">
        <v>1.8</v>
      </c>
      <c r="C26" s="225" t="s">
        <v>1388</v>
      </c>
      <c r="D26" s="214"/>
      <c r="E26" s="214"/>
      <c r="F26" s="214"/>
      <c r="G26" s="214"/>
    </row>
    <row r="27" spans="2:7" ht="12.75">
      <c r="B27" s="225">
        <v>1.9</v>
      </c>
      <c r="C27" s="225"/>
      <c r="D27" s="214"/>
      <c r="E27" s="214"/>
      <c r="F27" s="214"/>
      <c r="G27" s="214"/>
    </row>
    <row r="28" spans="2:8" ht="12.75">
      <c r="B28" s="225"/>
      <c r="C28" s="330" t="s">
        <v>1387</v>
      </c>
      <c r="D28" s="1015">
        <f>+D19+D20+D21+D22+D23+D24+D25+0.01</f>
        <v>34.14</v>
      </c>
      <c r="E28" s="1015">
        <v>36.66</v>
      </c>
      <c r="F28" s="1015">
        <f>+F19+F20+F21+F22+F23+F24+F25</f>
        <v>35.9</v>
      </c>
      <c r="G28" s="1015">
        <f>+G19+G20+G21+G22+G23+G24+G25</f>
        <v>38.61197834874999</v>
      </c>
      <c r="H28" s="201"/>
    </row>
    <row r="29" spans="2:7" ht="12.75">
      <c r="B29" s="225">
        <v>2</v>
      </c>
      <c r="C29" s="330" t="s">
        <v>1386</v>
      </c>
      <c r="D29" s="231"/>
      <c r="E29" s="214"/>
      <c r="F29" s="214"/>
      <c r="G29" s="214"/>
    </row>
    <row r="30" spans="2:7" ht="12.75">
      <c r="B30" s="225"/>
      <c r="C30" s="225"/>
      <c r="D30" s="214"/>
      <c r="E30" s="214"/>
      <c r="F30" s="214"/>
      <c r="G30" s="214"/>
    </row>
    <row r="31" spans="2:7" ht="25.5">
      <c r="B31" s="225">
        <v>2.1</v>
      </c>
      <c r="C31" s="250" t="s">
        <v>1385</v>
      </c>
      <c r="D31" s="217">
        <v>675.12</v>
      </c>
      <c r="E31" s="217">
        <v>743.36</v>
      </c>
      <c r="F31" s="217">
        <f>'Tariff calc 24-25'!Q32</f>
        <v>675.12</v>
      </c>
      <c r="G31" s="217">
        <f>'Tariff calc 24-25'!S32</f>
        <v>744.84</v>
      </c>
    </row>
    <row r="32" spans="2:7" ht="12.75">
      <c r="B32" s="225">
        <v>2.2</v>
      </c>
      <c r="C32" s="225" t="s">
        <v>1384</v>
      </c>
      <c r="D32" s="214"/>
      <c r="E32" s="214"/>
      <c r="F32" s="214"/>
      <c r="G32" s="214"/>
    </row>
    <row r="33" spans="2:7" ht="12.75">
      <c r="B33" s="225">
        <v>2.3</v>
      </c>
      <c r="C33" s="225" t="s">
        <v>1383</v>
      </c>
      <c r="D33" s="214"/>
      <c r="E33" s="214"/>
      <c r="F33" s="214"/>
      <c r="G33" s="214"/>
    </row>
    <row r="34" spans="2:7" ht="12.75">
      <c r="B34" s="225">
        <v>3</v>
      </c>
      <c r="C34" s="225" t="s">
        <v>1382</v>
      </c>
      <c r="D34" s="214"/>
      <c r="E34" s="214"/>
      <c r="F34" s="214"/>
      <c r="G34" s="214"/>
    </row>
    <row r="35" spans="2:7" ht="12.75">
      <c r="B35" s="225"/>
      <c r="C35" s="225" t="s">
        <v>1381</v>
      </c>
      <c r="D35" s="217">
        <v>80.09</v>
      </c>
      <c r="E35" s="217">
        <v>191.64</v>
      </c>
      <c r="F35" s="217">
        <f>'12G_24-25'!D31/10</f>
        <v>191.87008800000004</v>
      </c>
      <c r="G35" s="217">
        <f>'12G_24-25'!E31/10</f>
        <v>209.85069434875004</v>
      </c>
    </row>
    <row r="36" spans="3:7" ht="12.75">
      <c r="C36" s="225"/>
      <c r="D36" s="214"/>
      <c r="E36" s="214"/>
      <c r="F36" s="214"/>
      <c r="G36" s="214"/>
    </row>
    <row r="37" ht="12.75">
      <c r="C37" s="90" t="s">
        <v>1371</v>
      </c>
    </row>
    <row r="39" spans="2:8" ht="42.75" customHeight="1">
      <c r="B39" s="248">
        <v>1</v>
      </c>
      <c r="C39" s="1190" t="s">
        <v>1380</v>
      </c>
      <c r="D39" s="1190"/>
      <c r="E39" s="1190"/>
      <c r="F39" s="1190"/>
      <c r="G39" s="1190"/>
      <c r="H39" s="998"/>
    </row>
    <row r="40" spans="2:8" ht="29.25" customHeight="1">
      <c r="B40" s="248">
        <v>2</v>
      </c>
      <c r="C40" s="1136" t="s">
        <v>1379</v>
      </c>
      <c r="D40" s="1136"/>
      <c r="E40" s="1136"/>
      <c r="F40" s="1136"/>
      <c r="G40" s="1136"/>
      <c r="H40" s="998"/>
    </row>
    <row r="41" spans="2:8" ht="15.75" customHeight="1">
      <c r="B41" s="248">
        <v>3</v>
      </c>
      <c r="C41" s="1136" t="s">
        <v>1378</v>
      </c>
      <c r="D41" s="1136"/>
      <c r="E41" s="1136"/>
      <c r="F41" s="1136"/>
      <c r="G41" s="1136"/>
      <c r="H41" s="1136"/>
    </row>
    <row r="42" spans="2:8" ht="30.75" customHeight="1">
      <c r="B42" s="248" t="s">
        <v>1377</v>
      </c>
      <c r="C42" s="1136" t="s">
        <v>1376</v>
      </c>
      <c r="D42" s="1136"/>
      <c r="E42" s="1136"/>
      <c r="F42" s="1136"/>
      <c r="G42" s="1136"/>
      <c r="H42" s="998"/>
    </row>
    <row r="43" spans="2:8" ht="43.5" customHeight="1">
      <c r="B43" s="248" t="s">
        <v>1375</v>
      </c>
      <c r="C43" s="1136" t="s">
        <v>1374</v>
      </c>
      <c r="D43" s="1136"/>
      <c r="E43" s="1136"/>
      <c r="F43" s="1136"/>
      <c r="G43" s="1136"/>
      <c r="H43" s="998"/>
    </row>
    <row r="44" spans="2:8" ht="30.75" customHeight="1">
      <c r="B44" s="248" t="s">
        <v>1373</v>
      </c>
      <c r="C44" s="1136" t="s">
        <v>1372</v>
      </c>
      <c r="D44" s="1136"/>
      <c r="E44" s="1136"/>
      <c r="F44" s="1136"/>
      <c r="G44" s="1136"/>
      <c r="H44" s="998"/>
    </row>
    <row r="46" spans="2:7" ht="27.75" customHeight="1">
      <c r="B46" s="329" t="s">
        <v>1371</v>
      </c>
      <c r="C46" s="1192" t="s">
        <v>2026</v>
      </c>
      <c r="D46" s="1192"/>
      <c r="E46" s="1192"/>
      <c r="F46" s="1192"/>
      <c r="G46" s="1192"/>
    </row>
    <row r="47" spans="3:7" ht="42" customHeight="1">
      <c r="C47" s="1193"/>
      <c r="D47" s="1193"/>
      <c r="E47" s="1193"/>
      <c r="F47" s="1193"/>
      <c r="G47" s="1193"/>
    </row>
  </sheetData>
  <sheetProtection/>
  <mergeCells count="11">
    <mergeCell ref="C47:G47"/>
    <mergeCell ref="F15:G15"/>
    <mergeCell ref="F13:G13"/>
    <mergeCell ref="C43:G43"/>
    <mergeCell ref="C44:G44"/>
    <mergeCell ref="C41:H41"/>
    <mergeCell ref="C39:G39"/>
    <mergeCell ref="C40:G40"/>
    <mergeCell ref="C42:G42"/>
    <mergeCell ref="F3:G3"/>
    <mergeCell ref="C46:G46"/>
  </mergeCells>
  <printOptions/>
  <pageMargins left="1" right="0.75" top="0.81" bottom="0.36" header="0.5" footer="0.5"/>
  <pageSetup horizontalDpi="600" verticalDpi="600" orientation="portrait" scale="84" r:id="rId1"/>
</worksheet>
</file>

<file path=xl/worksheets/sheet14.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I17"/>
    </sheetView>
  </sheetViews>
  <sheetFormatPr defaultColWidth="9.33203125" defaultRowHeight="12.75"/>
  <cols>
    <col min="1" max="1" width="6.83203125" style="0" customWidth="1"/>
    <col min="2" max="2" width="41.16015625" style="0" customWidth="1"/>
    <col min="3" max="3" width="14" style="0" customWidth="1"/>
    <col min="4" max="5" width="12.83203125" style="0" customWidth="1"/>
    <col min="6" max="6" width="11.83203125" style="0" customWidth="1"/>
    <col min="7" max="8" width="12.83203125" style="0" customWidth="1"/>
    <col min="9" max="9" width="2.5" style="0" customWidth="1"/>
  </cols>
  <sheetData>
    <row r="1" spans="1:9" ht="42.75" customHeight="1">
      <c r="A1" s="1200" t="s">
        <v>1084</v>
      </c>
      <c r="B1" s="1200"/>
      <c r="C1" s="1200"/>
      <c r="D1" s="1200"/>
      <c r="E1" s="1200"/>
      <c r="F1" s="1200"/>
      <c r="G1" s="1201"/>
      <c r="H1" s="1201"/>
      <c r="I1" s="1201"/>
    </row>
    <row r="2" spans="1:9" ht="34.5" customHeight="1">
      <c r="A2" s="1198" t="s">
        <v>433</v>
      </c>
      <c r="B2" s="1198"/>
      <c r="C2" s="1198"/>
      <c r="D2" s="1198"/>
      <c r="E2" s="1198"/>
      <c r="F2" s="1198"/>
      <c r="G2" s="1198"/>
      <c r="H2" s="1198"/>
      <c r="I2" s="1198"/>
    </row>
    <row r="3" spans="1:9" ht="17.25" customHeight="1">
      <c r="A3" s="1202" t="s">
        <v>434</v>
      </c>
      <c r="B3" s="1202"/>
      <c r="C3" s="1202"/>
      <c r="D3" s="1202"/>
      <c r="E3" s="1202"/>
      <c r="F3" s="1202"/>
      <c r="G3" s="1202"/>
      <c r="H3" s="1202"/>
      <c r="I3" s="1202"/>
    </row>
    <row r="4" spans="1:8" ht="36.75" customHeight="1">
      <c r="A4" s="5" t="s">
        <v>273</v>
      </c>
      <c r="B4" s="2" t="s">
        <v>109</v>
      </c>
      <c r="C4" s="2" t="s">
        <v>112</v>
      </c>
      <c r="D4" s="2" t="s">
        <v>113</v>
      </c>
      <c r="E4" s="983" t="s">
        <v>1356</v>
      </c>
      <c r="F4" s="984" t="s">
        <v>1911</v>
      </c>
      <c r="G4" s="983" t="s">
        <v>1912</v>
      </c>
      <c r="H4" s="983" t="s">
        <v>1913</v>
      </c>
    </row>
    <row r="5" spans="1:8" ht="17.25" customHeight="1">
      <c r="A5" s="80">
        <v>1</v>
      </c>
      <c r="B5" s="11">
        <v>2</v>
      </c>
      <c r="C5" s="11">
        <v>3</v>
      </c>
      <c r="D5" s="11">
        <v>4</v>
      </c>
      <c r="E5" s="11">
        <v>5</v>
      </c>
      <c r="F5" s="968">
        <v>6</v>
      </c>
      <c r="G5" s="11">
        <v>7</v>
      </c>
      <c r="H5" s="11">
        <v>8</v>
      </c>
    </row>
    <row r="6" spans="1:8" ht="17.25" customHeight="1">
      <c r="A6" s="68">
        <v>1</v>
      </c>
      <c r="B6" s="5" t="s">
        <v>1087</v>
      </c>
      <c r="C6" s="979"/>
      <c r="D6" s="979"/>
      <c r="E6" s="979"/>
      <c r="F6" s="980"/>
      <c r="G6" s="979"/>
      <c r="H6" s="979"/>
    </row>
    <row r="7" spans="1:8" ht="34.5" customHeight="1">
      <c r="A7" s="68">
        <v>2</v>
      </c>
      <c r="B7" s="5" t="s">
        <v>1088</v>
      </c>
      <c r="C7" s="979"/>
      <c r="D7" s="979"/>
      <c r="E7" s="979"/>
      <c r="F7" s="980"/>
      <c r="G7" s="979"/>
      <c r="H7" s="979"/>
    </row>
    <row r="8" spans="1:8" ht="17.25" customHeight="1">
      <c r="A8" s="68">
        <v>3</v>
      </c>
      <c r="B8" s="985" t="s">
        <v>1581</v>
      </c>
      <c r="C8" s="979">
        <v>5.08</v>
      </c>
      <c r="D8" s="979">
        <v>6.01</v>
      </c>
      <c r="E8" s="979">
        <v>3.79</v>
      </c>
      <c r="F8" s="980">
        <v>5.77</v>
      </c>
      <c r="G8" s="979">
        <v>5.76</v>
      </c>
      <c r="H8" s="979">
        <v>5.76</v>
      </c>
    </row>
    <row r="9" spans="1:8" ht="17.25" customHeight="1">
      <c r="A9" s="68">
        <v>4</v>
      </c>
      <c r="B9" s="5" t="s">
        <v>1090</v>
      </c>
      <c r="C9" s="979">
        <v>0</v>
      </c>
      <c r="D9" s="979">
        <v>0</v>
      </c>
      <c r="E9" s="979">
        <v>0</v>
      </c>
      <c r="F9" s="980"/>
      <c r="G9" s="979"/>
      <c r="H9" s="979"/>
    </row>
    <row r="10" spans="1:8" ht="17.25" customHeight="1">
      <c r="A10" s="68">
        <v>5</v>
      </c>
      <c r="B10" s="3" t="s">
        <v>1091</v>
      </c>
      <c r="C10" s="979">
        <v>1.26</v>
      </c>
      <c r="D10" s="979">
        <v>1.34</v>
      </c>
      <c r="E10" s="979">
        <v>1.44</v>
      </c>
      <c r="F10" s="980">
        <v>1.53</v>
      </c>
      <c r="G10" s="979">
        <v>1.64</v>
      </c>
      <c r="H10" s="979">
        <v>1.75</v>
      </c>
    </row>
    <row r="11" spans="1:8" ht="17.25" customHeight="1">
      <c r="A11" s="68">
        <v>6</v>
      </c>
      <c r="B11" s="3" t="s">
        <v>1092</v>
      </c>
      <c r="C11" s="979">
        <v>4.53</v>
      </c>
      <c r="D11" s="979">
        <v>4.84</v>
      </c>
      <c r="E11" s="979">
        <v>5.17</v>
      </c>
      <c r="F11" s="980">
        <v>5.52</v>
      </c>
      <c r="G11" s="979">
        <v>5.89</v>
      </c>
      <c r="H11" s="979">
        <v>6.29</v>
      </c>
    </row>
    <row r="12" spans="1:8" ht="17.25" customHeight="1">
      <c r="A12" s="68">
        <v>7</v>
      </c>
      <c r="B12" s="3" t="s">
        <v>1093</v>
      </c>
      <c r="C12" s="979">
        <v>15.96</v>
      </c>
      <c r="D12" s="979">
        <v>12.15</v>
      </c>
      <c r="E12" s="979">
        <v>12.33</v>
      </c>
      <c r="F12" s="980">
        <v>12.15</v>
      </c>
      <c r="G12" s="979">
        <v>12.15</v>
      </c>
      <c r="H12" s="979">
        <v>12.15</v>
      </c>
    </row>
    <row r="13" spans="1:8" ht="17.25" customHeight="1">
      <c r="A13" s="68">
        <v>8</v>
      </c>
      <c r="B13" s="3" t="s">
        <v>1094</v>
      </c>
      <c r="C13" s="979">
        <f aca="true" t="shared" si="0" ref="C13:H13">SUM(C8:C12)</f>
        <v>26.830000000000002</v>
      </c>
      <c r="D13" s="979">
        <f t="shared" si="0"/>
        <v>24.34</v>
      </c>
      <c r="E13" s="979">
        <f t="shared" si="0"/>
        <v>22.73</v>
      </c>
      <c r="F13" s="979">
        <f t="shared" si="0"/>
        <v>24.97</v>
      </c>
      <c r="G13" s="979">
        <f t="shared" si="0"/>
        <v>25.439999999999998</v>
      </c>
      <c r="H13" s="979">
        <f t="shared" si="0"/>
        <v>25.950000000000003</v>
      </c>
    </row>
    <row r="14" spans="1:8" ht="17.25" customHeight="1">
      <c r="A14" s="68">
        <v>9</v>
      </c>
      <c r="B14" s="985" t="s">
        <v>1948</v>
      </c>
      <c r="C14" s="979">
        <v>12.55</v>
      </c>
      <c r="D14" s="979">
        <v>12.05</v>
      </c>
      <c r="E14" s="979">
        <v>12.05</v>
      </c>
      <c r="F14" s="980">
        <v>12.05</v>
      </c>
      <c r="G14" s="979">
        <v>12.05</v>
      </c>
      <c r="H14" s="979">
        <v>12.05</v>
      </c>
    </row>
    <row r="15" spans="1:8" ht="28.5" customHeight="1">
      <c r="A15" s="68">
        <v>10</v>
      </c>
      <c r="B15" s="985" t="s">
        <v>1949</v>
      </c>
      <c r="C15" s="979">
        <v>3.37</v>
      </c>
      <c r="D15" s="979">
        <v>2.93</v>
      </c>
      <c r="E15" s="979">
        <v>2.74</v>
      </c>
      <c r="F15" s="980">
        <v>3.01</v>
      </c>
      <c r="G15" s="979">
        <v>3.07</v>
      </c>
      <c r="H15" s="979">
        <v>3.13</v>
      </c>
    </row>
    <row r="16" spans="1:9" ht="72" customHeight="1">
      <c r="A16" s="1198" t="s">
        <v>1096</v>
      </c>
      <c r="B16" s="1198"/>
      <c r="C16" s="1198"/>
      <c r="D16" s="1198"/>
      <c r="E16" s="1198"/>
      <c r="F16" s="1198"/>
      <c r="G16" s="1198"/>
      <c r="H16" s="1198"/>
      <c r="I16" s="1198"/>
    </row>
    <row r="17" spans="1:9" ht="17.25" customHeight="1">
      <c r="A17" s="1199" t="s">
        <v>137</v>
      </c>
      <c r="B17" s="1199"/>
      <c r="C17" s="1199"/>
      <c r="D17" s="1199"/>
      <c r="E17" s="1199"/>
      <c r="F17" s="1199"/>
      <c r="G17" s="1199"/>
      <c r="H17" s="1199"/>
      <c r="I17" s="1199"/>
    </row>
  </sheetData>
  <sheetProtection/>
  <mergeCells count="6">
    <mergeCell ref="A16:I16"/>
    <mergeCell ref="A17:I17"/>
    <mergeCell ref="A1:F1"/>
    <mergeCell ref="G1:I1"/>
    <mergeCell ref="A2:I2"/>
    <mergeCell ref="A3:I3"/>
  </mergeCells>
  <printOptions horizontalCentered="1" verticalCentered="1"/>
  <pageMargins left="0.3" right="0.16"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G8"/>
  <sheetViews>
    <sheetView zoomScalePageLayoutView="0" workbookViewId="0" topLeftCell="A6">
      <selection activeCell="A1" sqref="A1:F8"/>
    </sheetView>
  </sheetViews>
  <sheetFormatPr defaultColWidth="9.33203125" defaultRowHeight="12.75"/>
  <cols>
    <col min="1" max="1" width="52" style="0" customWidth="1"/>
    <col min="2" max="2" width="6.16015625" style="0" customWidth="1"/>
    <col min="3" max="3" width="33.33203125" style="0" customWidth="1"/>
    <col min="4" max="4" width="40.16015625" style="0" customWidth="1"/>
    <col min="5" max="5" width="2.5" style="0" customWidth="1"/>
    <col min="6" max="6" width="37.83203125" style="0" customWidth="1"/>
    <col min="7" max="7" width="10.5" style="0" customWidth="1"/>
  </cols>
  <sheetData>
    <row r="1" spans="1:7" ht="121.5" customHeight="1">
      <c r="A1" s="1203" t="s">
        <v>350</v>
      </c>
      <c r="B1" s="1203"/>
      <c r="C1" s="1204" t="s">
        <v>633</v>
      </c>
      <c r="D1" s="1204"/>
      <c r="E1" s="1204"/>
      <c r="F1" s="959" t="s">
        <v>634</v>
      </c>
      <c r="G1" s="970"/>
    </row>
    <row r="2" spans="1:6" ht="44.25" customHeight="1">
      <c r="A2" s="39" t="s">
        <v>109</v>
      </c>
      <c r="B2" s="1205" t="s">
        <v>635</v>
      </c>
      <c r="C2" s="1206"/>
      <c r="D2" s="63" t="s">
        <v>636</v>
      </c>
      <c r="E2" s="1207" t="s">
        <v>629</v>
      </c>
      <c r="F2" s="1208"/>
    </row>
    <row r="3" spans="1:6" ht="44.25" customHeight="1">
      <c r="A3" s="64" t="s">
        <v>637</v>
      </c>
      <c r="B3" s="1209"/>
      <c r="C3" s="1097"/>
      <c r="D3" s="6"/>
      <c r="E3" s="1209"/>
      <c r="F3" s="1097"/>
    </row>
    <row r="4" spans="1:6" ht="44.25" customHeight="1">
      <c r="A4" s="56" t="s">
        <v>638</v>
      </c>
      <c r="B4" s="1209"/>
      <c r="C4" s="1097"/>
      <c r="D4" s="6"/>
      <c r="E4" s="1209"/>
      <c r="F4" s="1097"/>
    </row>
    <row r="5" spans="1:6" ht="44.25" customHeight="1">
      <c r="A5" s="55" t="s">
        <v>639</v>
      </c>
      <c r="B5" s="1209"/>
      <c r="C5" s="1097"/>
      <c r="D5" s="6"/>
      <c r="E5" s="1209"/>
      <c r="F5" s="1097"/>
    </row>
    <row r="6" spans="1:6" ht="44.25" customHeight="1">
      <c r="A6" s="55" t="s">
        <v>639</v>
      </c>
      <c r="B6" s="1209"/>
      <c r="C6" s="1097"/>
      <c r="D6" s="6"/>
      <c r="E6" s="1209"/>
      <c r="F6" s="1097"/>
    </row>
    <row r="7" spans="1:6" ht="43.5" customHeight="1">
      <c r="A7" s="55" t="s">
        <v>639</v>
      </c>
      <c r="B7" s="1209"/>
      <c r="C7" s="1097"/>
      <c r="D7" s="6"/>
      <c r="E7" s="1209"/>
      <c r="F7" s="1097"/>
    </row>
    <row r="8" spans="1:7" ht="17.25" customHeight="1">
      <c r="A8" s="1210" t="s">
        <v>137</v>
      </c>
      <c r="B8" s="1210"/>
      <c r="C8" s="1210"/>
      <c r="D8" s="1210"/>
      <c r="E8" s="1210"/>
      <c r="F8" s="1210"/>
      <c r="G8" s="982"/>
    </row>
  </sheetData>
  <sheetProtection/>
  <mergeCells count="15">
    <mergeCell ref="B7:C7"/>
    <mergeCell ref="E7:F7"/>
    <mergeCell ref="A8:F8"/>
    <mergeCell ref="B4:C4"/>
    <mergeCell ref="E4:F4"/>
    <mergeCell ref="B5:C5"/>
    <mergeCell ref="E5:F5"/>
    <mergeCell ref="B6:C6"/>
    <mergeCell ref="E6:F6"/>
    <mergeCell ref="A1:B1"/>
    <mergeCell ref="C1:E1"/>
    <mergeCell ref="B2:C2"/>
    <mergeCell ref="E2:F2"/>
    <mergeCell ref="B3:C3"/>
    <mergeCell ref="E3:F3"/>
  </mergeCells>
  <printOptions horizontalCentered="1" verticalCentered="1"/>
  <pageMargins left="0.16" right="0.16" top="0.36" bottom="0.28" header="0.39" footer="0.3"/>
  <pageSetup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dimension ref="A1:K10"/>
  <sheetViews>
    <sheetView zoomScalePageLayoutView="0" workbookViewId="0" topLeftCell="A9">
      <selection activeCell="A1" sqref="A1:J10"/>
    </sheetView>
  </sheetViews>
  <sheetFormatPr defaultColWidth="9.33203125" defaultRowHeight="12.75"/>
  <cols>
    <col min="1" max="1" width="7.83203125" style="0" customWidth="1"/>
    <col min="2" max="2" width="17.16015625" style="0" customWidth="1"/>
    <col min="3" max="3" width="17.83203125" style="0" customWidth="1"/>
    <col min="4" max="4" width="16.16015625" style="0" customWidth="1"/>
    <col min="5" max="5" width="13.33203125" style="0" customWidth="1"/>
    <col min="6" max="6" width="22.5" style="0" customWidth="1"/>
    <col min="7" max="7" width="24" style="0" customWidth="1"/>
    <col min="8" max="8" width="9.5" style="0" customWidth="1"/>
    <col min="9" max="9" width="14.66015625" style="0" customWidth="1"/>
    <col min="10" max="10" width="24.16015625" style="0" customWidth="1"/>
    <col min="11" max="11" width="10.66015625" style="0" customWidth="1"/>
  </cols>
  <sheetData>
    <row r="1" spans="1:11" ht="121.5" customHeight="1">
      <c r="A1" s="1203" t="s">
        <v>350</v>
      </c>
      <c r="B1" s="1203"/>
      <c r="C1" s="1203"/>
      <c r="D1" s="1203"/>
      <c r="E1" s="1211" t="s">
        <v>622</v>
      </c>
      <c r="F1" s="1211"/>
      <c r="G1" s="1211"/>
      <c r="H1" s="1211"/>
      <c r="I1" s="1212" t="s">
        <v>623</v>
      </c>
      <c r="J1" s="1212"/>
      <c r="K1" s="970"/>
    </row>
    <row r="2" spans="1:10" ht="65.25" customHeight="1">
      <c r="A2" s="1213" t="s">
        <v>273</v>
      </c>
      <c r="B2" s="1076" t="s">
        <v>624</v>
      </c>
      <c r="C2" s="1078"/>
      <c r="D2" s="1205" t="s">
        <v>625</v>
      </c>
      <c r="E2" s="1206"/>
      <c r="F2" s="2" t="s">
        <v>626</v>
      </c>
      <c r="G2" s="27" t="s">
        <v>627</v>
      </c>
      <c r="H2" s="1215" t="s">
        <v>628</v>
      </c>
      <c r="I2" s="1100"/>
      <c r="J2" s="50" t="s">
        <v>629</v>
      </c>
    </row>
    <row r="3" spans="1:10" ht="53.25" customHeight="1">
      <c r="A3" s="1214"/>
      <c r="B3" s="25" t="s">
        <v>630</v>
      </c>
      <c r="C3" s="61" t="s">
        <v>631</v>
      </c>
      <c r="D3" s="1205" t="s">
        <v>632</v>
      </c>
      <c r="E3" s="1206"/>
      <c r="F3" s="62" t="s">
        <v>632</v>
      </c>
      <c r="G3" s="6"/>
      <c r="H3" s="1209"/>
      <c r="I3" s="1097"/>
      <c r="J3" s="6"/>
    </row>
    <row r="4" spans="1:10" ht="18" customHeight="1">
      <c r="A4" s="9">
        <v>1</v>
      </c>
      <c r="B4" s="4"/>
      <c r="C4" s="4"/>
      <c r="D4" s="1089"/>
      <c r="E4" s="1091"/>
      <c r="F4" s="4"/>
      <c r="G4" s="4"/>
      <c r="H4" s="1089"/>
      <c r="I4" s="1091"/>
      <c r="J4" s="4"/>
    </row>
    <row r="5" spans="1:10" ht="17.25" customHeight="1">
      <c r="A5" s="9">
        <v>2</v>
      </c>
      <c r="B5" s="4"/>
      <c r="C5" s="4"/>
      <c r="D5" s="1089"/>
      <c r="E5" s="1091"/>
      <c r="F5" s="4"/>
      <c r="G5" s="4"/>
      <c r="H5" s="1089"/>
      <c r="I5" s="1091"/>
      <c r="J5" s="4"/>
    </row>
    <row r="6" spans="1:10" ht="17.25" customHeight="1">
      <c r="A6" s="9">
        <v>3</v>
      </c>
      <c r="B6" s="4"/>
      <c r="C6" s="4"/>
      <c r="D6" s="1089"/>
      <c r="E6" s="1091"/>
      <c r="F6" s="4"/>
      <c r="G6" s="4"/>
      <c r="H6" s="1089"/>
      <c r="I6" s="1091"/>
      <c r="J6" s="4"/>
    </row>
    <row r="7" spans="1:10" ht="17.25" customHeight="1">
      <c r="A7" s="9">
        <v>4</v>
      </c>
      <c r="B7" s="4"/>
      <c r="C7" s="4"/>
      <c r="D7" s="1089"/>
      <c r="E7" s="1091"/>
      <c r="F7" s="4"/>
      <c r="G7" s="4"/>
      <c r="H7" s="1089"/>
      <c r="I7" s="1091"/>
      <c r="J7" s="4"/>
    </row>
    <row r="8" spans="1:10" ht="17.25" customHeight="1">
      <c r="A8" s="9">
        <v>5</v>
      </c>
      <c r="B8" s="4"/>
      <c r="C8" s="4"/>
      <c r="D8" s="1089"/>
      <c r="E8" s="1091"/>
      <c r="F8" s="4"/>
      <c r="G8" s="4"/>
      <c r="H8" s="1089"/>
      <c r="I8" s="1091"/>
      <c r="J8" s="4"/>
    </row>
    <row r="9" spans="1:10" ht="17.25" customHeight="1">
      <c r="A9" s="9">
        <v>6</v>
      </c>
      <c r="B9" s="4"/>
      <c r="C9" s="4"/>
      <c r="D9" s="1089"/>
      <c r="E9" s="1091"/>
      <c r="F9" s="4"/>
      <c r="G9" s="4"/>
      <c r="H9" s="1089"/>
      <c r="I9" s="1091"/>
      <c r="J9" s="4"/>
    </row>
    <row r="10" spans="1:11" ht="17.25" customHeight="1">
      <c r="A10" s="1210" t="s">
        <v>137</v>
      </c>
      <c r="B10" s="1210"/>
      <c r="C10" s="1210"/>
      <c r="D10" s="1210"/>
      <c r="E10" s="1210"/>
      <c r="F10" s="1210"/>
      <c r="G10" s="1210"/>
      <c r="H10" s="1210"/>
      <c r="I10" s="1210"/>
      <c r="J10" s="1210"/>
      <c r="K10" s="982"/>
    </row>
  </sheetData>
  <sheetProtection/>
  <mergeCells count="22">
    <mergeCell ref="A10:J10"/>
    <mergeCell ref="D7:E7"/>
    <mergeCell ref="H7:I7"/>
    <mergeCell ref="D8:E8"/>
    <mergeCell ref="H8:I8"/>
    <mergeCell ref="D9:E9"/>
    <mergeCell ref="H9:I9"/>
    <mergeCell ref="D4:E4"/>
    <mergeCell ref="H4:I4"/>
    <mergeCell ref="D5:E5"/>
    <mergeCell ref="H5:I5"/>
    <mergeCell ref="D6:E6"/>
    <mergeCell ref="H6:I6"/>
    <mergeCell ref="A1:D1"/>
    <mergeCell ref="E1:H1"/>
    <mergeCell ref="I1:J1"/>
    <mergeCell ref="A2:A3"/>
    <mergeCell ref="B2:C2"/>
    <mergeCell ref="D2:E2"/>
    <mergeCell ref="H2:I2"/>
    <mergeCell ref="D3:E3"/>
    <mergeCell ref="H3:I3"/>
  </mergeCells>
  <printOptions/>
  <pageMargins left="0.16" right="0.16" top="0.46" bottom="0.39" header="0.3" footer="0.3"/>
  <pageSetup horizontalDpi="600" verticalDpi="600" orientation="landscape" scale="90" r:id="rId2"/>
  <drawing r:id="rId1"/>
</worksheet>
</file>

<file path=xl/worksheets/sheet17.xml><?xml version="1.0" encoding="utf-8"?>
<worksheet xmlns="http://schemas.openxmlformats.org/spreadsheetml/2006/main" xmlns:r="http://schemas.openxmlformats.org/officeDocument/2006/relationships">
  <dimension ref="A1:K18"/>
  <sheetViews>
    <sheetView zoomScalePageLayoutView="0" workbookViewId="0" topLeftCell="A12">
      <selection activeCell="A1" sqref="A1:K18"/>
    </sheetView>
  </sheetViews>
  <sheetFormatPr defaultColWidth="9.33203125" defaultRowHeight="12.75"/>
  <cols>
    <col min="1" max="1" width="11.16015625" style="0" customWidth="1"/>
    <col min="2" max="2" width="52" style="0" customWidth="1"/>
    <col min="3" max="3" width="2.16015625" style="0" customWidth="1"/>
    <col min="4" max="5" width="14.66015625" style="0" customWidth="1"/>
    <col min="6" max="6" width="14.5" style="0" customWidth="1"/>
    <col min="7" max="7" width="1.171875" style="0" customWidth="1"/>
    <col min="8" max="8" width="3.5" style="0" customWidth="1"/>
    <col min="9" max="9" width="9.83203125" style="0" customWidth="1"/>
    <col min="10" max="10" width="14.66015625" style="0" customWidth="1"/>
    <col min="11" max="11" width="14.83203125" style="0" customWidth="1"/>
  </cols>
  <sheetData>
    <row r="1" spans="1:11" ht="90.75" customHeight="1">
      <c r="A1" s="1219" t="s">
        <v>350</v>
      </c>
      <c r="B1" s="1219"/>
      <c r="C1" s="1211" t="s">
        <v>447</v>
      </c>
      <c r="D1" s="1211"/>
      <c r="E1" s="1211"/>
      <c r="F1" s="1211"/>
      <c r="G1" s="1211"/>
      <c r="H1" s="1220" t="s">
        <v>448</v>
      </c>
      <c r="I1" s="1220"/>
      <c r="J1" s="1220"/>
      <c r="K1" s="970"/>
    </row>
    <row r="2" spans="1:11" ht="34.5" customHeight="1">
      <c r="A2" s="8" t="s">
        <v>92</v>
      </c>
      <c r="B2" s="1080" t="s">
        <v>109</v>
      </c>
      <c r="C2" s="1082"/>
      <c r="D2" s="994" t="s">
        <v>1358</v>
      </c>
      <c r="E2" s="994" t="s">
        <v>1357</v>
      </c>
      <c r="F2" s="994" t="s">
        <v>1356</v>
      </c>
      <c r="G2" s="1221" t="s">
        <v>1911</v>
      </c>
      <c r="H2" s="1222"/>
      <c r="I2" s="1223"/>
      <c r="J2" s="995" t="s">
        <v>1912</v>
      </c>
      <c r="K2" s="966" t="s">
        <v>1913</v>
      </c>
    </row>
    <row r="3" spans="1:11" ht="17.25" customHeight="1">
      <c r="A3" s="11">
        <v>1</v>
      </c>
      <c r="B3" s="1216">
        <v>2</v>
      </c>
      <c r="C3" s="1217"/>
      <c r="D3" s="11">
        <v>3</v>
      </c>
      <c r="E3" s="11">
        <v>4</v>
      </c>
      <c r="F3" s="11">
        <v>5</v>
      </c>
      <c r="G3" s="1216">
        <v>6</v>
      </c>
      <c r="H3" s="1218"/>
      <c r="I3" s="1217"/>
      <c r="J3" s="989">
        <v>7</v>
      </c>
      <c r="K3" s="975">
        <v>8</v>
      </c>
    </row>
    <row r="4" spans="1:11" ht="17.25" customHeight="1">
      <c r="A4" s="42">
        <v>1</v>
      </c>
      <c r="B4" s="1224" t="s">
        <v>141</v>
      </c>
      <c r="C4" s="1225"/>
      <c r="D4" s="979">
        <v>165.85</v>
      </c>
      <c r="E4" s="979">
        <v>169.33</v>
      </c>
      <c r="F4" s="979">
        <v>170.76</v>
      </c>
      <c r="G4" s="1226">
        <v>170.76</v>
      </c>
      <c r="H4" s="1227"/>
      <c r="I4" s="1228"/>
      <c r="J4" s="990">
        <v>170.76</v>
      </c>
      <c r="K4" s="975">
        <v>170.76</v>
      </c>
    </row>
    <row r="5" spans="1:11" ht="17.25" customHeight="1">
      <c r="A5" s="42">
        <v>2</v>
      </c>
      <c r="B5" s="1224" t="s">
        <v>449</v>
      </c>
      <c r="C5" s="1225"/>
      <c r="D5" s="979">
        <v>165.85</v>
      </c>
      <c r="E5" s="979">
        <v>169.33</v>
      </c>
      <c r="F5" s="979">
        <v>170.76</v>
      </c>
      <c r="G5" s="1226">
        <v>170.76</v>
      </c>
      <c r="H5" s="1227"/>
      <c r="I5" s="1228"/>
      <c r="J5" s="990">
        <v>170.76</v>
      </c>
      <c r="K5" s="975">
        <v>170.76</v>
      </c>
    </row>
    <row r="6" spans="1:11" ht="17.25" customHeight="1">
      <c r="A6" s="42">
        <v>3</v>
      </c>
      <c r="B6" s="1076" t="s">
        <v>147</v>
      </c>
      <c r="C6" s="1078"/>
      <c r="D6" s="979">
        <v>165.85</v>
      </c>
      <c r="E6" s="979">
        <v>169.33</v>
      </c>
      <c r="F6" s="979">
        <v>170.76</v>
      </c>
      <c r="G6" s="1226">
        <v>170.76</v>
      </c>
      <c r="H6" s="1227"/>
      <c r="I6" s="1228"/>
      <c r="J6" s="990">
        <v>170.76</v>
      </c>
      <c r="K6" s="975">
        <v>170.76</v>
      </c>
    </row>
    <row r="7" spans="1:11" ht="17.25" customHeight="1">
      <c r="A7" s="42">
        <v>4</v>
      </c>
      <c r="B7" s="1224" t="s">
        <v>330</v>
      </c>
      <c r="C7" s="1225"/>
      <c r="D7" s="979">
        <v>7.93</v>
      </c>
      <c r="E7" s="979">
        <v>7.93</v>
      </c>
      <c r="F7" s="979">
        <v>7.93</v>
      </c>
      <c r="G7" s="1226">
        <v>7.93</v>
      </c>
      <c r="H7" s="1227"/>
      <c r="I7" s="1228"/>
      <c r="J7" s="990">
        <v>7.93</v>
      </c>
      <c r="K7" s="975">
        <v>7.93</v>
      </c>
    </row>
    <row r="8" spans="1:11" ht="17.25" customHeight="1">
      <c r="A8" s="42">
        <v>5</v>
      </c>
      <c r="B8" s="1224" t="s">
        <v>450</v>
      </c>
      <c r="C8" s="1225"/>
      <c r="D8" s="979"/>
      <c r="E8" s="979"/>
      <c r="F8" s="979"/>
      <c r="G8" s="1226"/>
      <c r="H8" s="1227"/>
      <c r="I8" s="1228"/>
      <c r="J8" s="990"/>
      <c r="K8" s="975"/>
    </row>
    <row r="9" spans="1:11" ht="17.25" customHeight="1">
      <c r="A9" s="42">
        <v>6</v>
      </c>
      <c r="B9" s="1224" t="s">
        <v>451</v>
      </c>
      <c r="C9" s="1225"/>
      <c r="D9" s="979">
        <v>142.13</v>
      </c>
      <c r="E9" s="979">
        <v>145.26</v>
      </c>
      <c r="F9" s="979">
        <v>146.55</v>
      </c>
      <c r="G9" s="1226">
        <v>146.55</v>
      </c>
      <c r="H9" s="1227"/>
      <c r="I9" s="1228"/>
      <c r="J9" s="990">
        <v>146.55</v>
      </c>
      <c r="K9" s="975">
        <v>146.55</v>
      </c>
    </row>
    <row r="10" spans="1:11" ht="34.5" customHeight="1">
      <c r="A10" s="42">
        <v>7</v>
      </c>
      <c r="B10" s="1229" t="s">
        <v>452</v>
      </c>
      <c r="C10" s="1230"/>
      <c r="D10" s="979">
        <v>6</v>
      </c>
      <c r="E10" s="979">
        <v>5</v>
      </c>
      <c r="F10" s="979">
        <v>4</v>
      </c>
      <c r="G10" s="1226">
        <v>3</v>
      </c>
      <c r="H10" s="1227"/>
      <c r="I10" s="1228"/>
      <c r="J10" s="990">
        <v>2</v>
      </c>
      <c r="K10" s="975">
        <v>1</v>
      </c>
    </row>
    <row r="11" spans="1:11" ht="17.25" customHeight="1">
      <c r="A11" s="42">
        <v>8</v>
      </c>
      <c r="B11" s="1224" t="s">
        <v>453</v>
      </c>
      <c r="C11" s="1225"/>
      <c r="D11" s="979">
        <v>128.02</v>
      </c>
      <c r="E11" s="979">
        <v>129.83</v>
      </c>
      <c r="F11" s="979">
        <v>133.4</v>
      </c>
      <c r="G11" s="1226">
        <v>136.69</v>
      </c>
      <c r="H11" s="1227"/>
      <c r="I11" s="1228"/>
      <c r="J11" s="990">
        <v>139.97</v>
      </c>
      <c r="K11" s="975">
        <v>143.26</v>
      </c>
    </row>
    <row r="12" spans="1:11" ht="17.25" customHeight="1">
      <c r="A12" s="42">
        <v>9</v>
      </c>
      <c r="B12" s="1076" t="s">
        <v>454</v>
      </c>
      <c r="C12" s="1078"/>
      <c r="D12" s="979">
        <v>14.11</v>
      </c>
      <c r="E12" s="979">
        <v>15.43</v>
      </c>
      <c r="F12" s="979">
        <v>13.14</v>
      </c>
      <c r="G12" s="1226">
        <v>9.86</v>
      </c>
      <c r="H12" s="1227"/>
      <c r="I12" s="1228"/>
      <c r="J12" s="990">
        <v>6.58</v>
      </c>
      <c r="K12" s="975">
        <v>3.29</v>
      </c>
    </row>
    <row r="13" spans="1:11" ht="17.25" customHeight="1">
      <c r="A13" s="43">
        <v>10</v>
      </c>
      <c r="B13" s="1076" t="s">
        <v>455</v>
      </c>
      <c r="C13" s="1078"/>
      <c r="D13" s="979">
        <v>2.35</v>
      </c>
      <c r="E13" s="979">
        <v>3.09</v>
      </c>
      <c r="F13" s="979">
        <v>3.29</v>
      </c>
      <c r="G13" s="1226">
        <v>3.29</v>
      </c>
      <c r="H13" s="1227"/>
      <c r="I13" s="1228"/>
      <c r="J13" s="990">
        <v>3.29</v>
      </c>
      <c r="K13" s="975">
        <v>3.29</v>
      </c>
    </row>
    <row r="14" spans="1:11" ht="34.5" customHeight="1">
      <c r="A14" s="43">
        <v>11</v>
      </c>
      <c r="B14" s="1229" t="s">
        <v>456</v>
      </c>
      <c r="C14" s="1230"/>
      <c r="D14" s="979"/>
      <c r="E14" s="979"/>
      <c r="F14" s="979"/>
      <c r="G14" s="1226"/>
      <c r="H14" s="1227"/>
      <c r="I14" s="1228"/>
      <c r="J14" s="990"/>
      <c r="K14" s="975"/>
    </row>
    <row r="15" spans="1:11" ht="45" customHeight="1">
      <c r="A15" s="44">
        <v>12</v>
      </c>
      <c r="B15" s="1229" t="s">
        <v>457</v>
      </c>
      <c r="C15" s="1230"/>
      <c r="D15" s="979"/>
      <c r="E15" s="979"/>
      <c r="F15" s="979"/>
      <c r="G15" s="1226"/>
      <c r="H15" s="1227"/>
      <c r="I15" s="1228"/>
      <c r="J15" s="990"/>
      <c r="K15" s="975"/>
    </row>
    <row r="16" spans="1:11" ht="45" customHeight="1">
      <c r="A16" s="44">
        <v>13</v>
      </c>
      <c r="B16" s="1229" t="s">
        <v>458</v>
      </c>
      <c r="C16" s="1230"/>
      <c r="D16" s="979"/>
      <c r="E16" s="979"/>
      <c r="F16" s="979"/>
      <c r="G16" s="1226"/>
      <c r="H16" s="1227"/>
      <c r="I16" s="1228"/>
      <c r="J16" s="990"/>
      <c r="K16" s="975"/>
    </row>
    <row r="17" spans="1:11" ht="34.5" customHeight="1">
      <c r="A17" s="43">
        <v>14</v>
      </c>
      <c r="B17" s="1229" t="s">
        <v>459</v>
      </c>
      <c r="C17" s="1230"/>
      <c r="D17" s="979"/>
      <c r="E17" s="979"/>
      <c r="F17" s="979"/>
      <c r="G17" s="1226"/>
      <c r="H17" s="1227"/>
      <c r="I17" s="1228"/>
      <c r="J17" s="990"/>
      <c r="K17" s="975"/>
    </row>
    <row r="18" spans="1:11" ht="60" customHeight="1">
      <c r="A18" s="1231" t="s">
        <v>460</v>
      </c>
      <c r="B18" s="1231"/>
      <c r="C18" s="1231"/>
      <c r="D18" s="1231"/>
      <c r="E18" s="1231"/>
      <c r="F18" s="1231"/>
      <c r="G18" s="1231"/>
      <c r="H18" s="1231"/>
      <c r="I18" s="1232" t="s">
        <v>137</v>
      </c>
      <c r="J18" s="1232"/>
      <c r="K18" s="982"/>
    </row>
  </sheetData>
  <sheetProtection/>
  <mergeCells count="37">
    <mergeCell ref="B16:C16"/>
    <mergeCell ref="G16:I16"/>
    <mergeCell ref="B17:C17"/>
    <mergeCell ref="G17:I17"/>
    <mergeCell ref="A18:H18"/>
    <mergeCell ref="I18:J18"/>
    <mergeCell ref="B13:C13"/>
    <mergeCell ref="G13:I13"/>
    <mergeCell ref="B14:C14"/>
    <mergeCell ref="G14:I14"/>
    <mergeCell ref="B15:C15"/>
    <mergeCell ref="G15:I15"/>
    <mergeCell ref="B10:C10"/>
    <mergeCell ref="G10:I10"/>
    <mergeCell ref="B11:C11"/>
    <mergeCell ref="G11:I11"/>
    <mergeCell ref="B12:C12"/>
    <mergeCell ref="G12:I12"/>
    <mergeCell ref="B7:C7"/>
    <mergeCell ref="G7:I7"/>
    <mergeCell ref="B8:C8"/>
    <mergeCell ref="G8:I8"/>
    <mergeCell ref="B9:C9"/>
    <mergeCell ref="G9:I9"/>
    <mergeCell ref="B4:C4"/>
    <mergeCell ref="G4:I4"/>
    <mergeCell ref="B5:C5"/>
    <mergeCell ref="G5:I5"/>
    <mergeCell ref="B6:C6"/>
    <mergeCell ref="G6:I6"/>
    <mergeCell ref="B3:C3"/>
    <mergeCell ref="G3:I3"/>
    <mergeCell ref="A1:B1"/>
    <mergeCell ref="C1:G1"/>
    <mergeCell ref="H1:J1"/>
    <mergeCell ref="B2:C2"/>
    <mergeCell ref="G2:I2"/>
  </mergeCells>
  <printOptions/>
  <pageMargins left="0.16" right="0.16" top="0.28" bottom="0.2" header="0.3" footer="0.3"/>
  <pageSetup horizontalDpi="600" verticalDpi="600" orientation="landscape" scale="90" r:id="rId2"/>
  <drawing r:id="rId1"/>
</worksheet>
</file>

<file path=xl/worksheets/sheet18.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4"/>
    </sheetView>
  </sheetViews>
  <sheetFormatPr defaultColWidth="9.33203125" defaultRowHeight="12.75"/>
  <cols>
    <col min="1" max="1" width="67.16015625" style="0" customWidth="1"/>
    <col min="2" max="2" width="31.33203125" style="0" customWidth="1"/>
    <col min="3" max="3" width="36.5" style="0" customWidth="1"/>
    <col min="4" max="4" width="3.83203125" style="0" customWidth="1"/>
    <col min="5" max="5" width="7.16015625" style="0" customWidth="1"/>
    <col min="6" max="6" width="30.5" style="0" customWidth="1"/>
  </cols>
  <sheetData>
    <row r="1" spans="1:6" ht="15" customHeight="1">
      <c r="A1" s="1233" t="s">
        <v>314</v>
      </c>
      <c r="B1" s="1233"/>
      <c r="C1" s="1233"/>
      <c r="D1" s="1233"/>
      <c r="E1" s="1234" t="s">
        <v>315</v>
      </c>
      <c r="F1" s="1234"/>
    </row>
    <row r="2" spans="1:6" ht="48.75" customHeight="1">
      <c r="A2" s="1235" t="s">
        <v>174</v>
      </c>
      <c r="B2" s="1235"/>
      <c r="C2" s="1235"/>
      <c r="D2" s="1235"/>
      <c r="E2" s="1235"/>
      <c r="F2" s="31" t="s">
        <v>137</v>
      </c>
    </row>
    <row r="3" spans="1:3" ht="15" customHeight="1">
      <c r="A3" s="5" t="s">
        <v>316</v>
      </c>
      <c r="B3" s="3" t="s">
        <v>317</v>
      </c>
      <c r="C3" s="4"/>
    </row>
    <row r="4" spans="1:3" ht="15" customHeight="1">
      <c r="A4" s="5" t="s">
        <v>318</v>
      </c>
      <c r="B4" s="3" t="s">
        <v>319</v>
      </c>
      <c r="C4" s="6"/>
    </row>
    <row r="5" spans="1:3" ht="15" customHeight="1">
      <c r="A5" s="1224" t="s">
        <v>320</v>
      </c>
      <c r="B5" s="1236"/>
      <c r="C5" s="1225"/>
    </row>
    <row r="6" spans="1:3" ht="15" customHeight="1">
      <c r="A6" s="3" t="s">
        <v>321</v>
      </c>
      <c r="B6" s="1237" t="s">
        <v>322</v>
      </c>
      <c r="C6" s="4"/>
    </row>
    <row r="7" spans="1:3" ht="15" customHeight="1">
      <c r="A7" s="5" t="s">
        <v>323</v>
      </c>
      <c r="B7" s="1238"/>
      <c r="C7" s="6"/>
    </row>
    <row r="8" spans="1:3" ht="15" customHeight="1">
      <c r="A8" s="5" t="s">
        <v>324</v>
      </c>
      <c r="B8" s="1238"/>
      <c r="C8" s="5"/>
    </row>
    <row r="9" spans="1:3" ht="15" customHeight="1">
      <c r="A9" s="3" t="s">
        <v>325</v>
      </c>
      <c r="B9" s="1238"/>
      <c r="C9" s="4"/>
    </row>
    <row r="10" spans="1:3" ht="15" customHeight="1">
      <c r="A10" s="3" t="s">
        <v>326</v>
      </c>
      <c r="B10" s="1238"/>
      <c r="C10" s="4"/>
    </row>
    <row r="11" spans="1:3" ht="15" customHeight="1">
      <c r="A11" s="3" t="s">
        <v>327</v>
      </c>
      <c r="B11" s="1238"/>
      <c r="C11" s="4"/>
    </row>
    <row r="12" spans="1:3" ht="15" customHeight="1">
      <c r="A12" s="3" t="s">
        <v>328</v>
      </c>
      <c r="B12" s="1238"/>
      <c r="C12" s="4"/>
    </row>
    <row r="13" spans="1:3" ht="15" customHeight="1">
      <c r="A13" s="3" t="s">
        <v>329</v>
      </c>
      <c r="B13" s="1238"/>
      <c r="C13" s="4"/>
    </row>
    <row r="14" spans="1:3" ht="15" customHeight="1">
      <c r="A14" s="3" t="s">
        <v>330</v>
      </c>
      <c r="B14" s="1239"/>
      <c r="C14" s="4"/>
    </row>
  </sheetData>
  <sheetProtection/>
  <mergeCells count="5">
    <mergeCell ref="A1:D1"/>
    <mergeCell ref="E1:F1"/>
    <mergeCell ref="A2:E2"/>
    <mergeCell ref="A5:C5"/>
    <mergeCell ref="B6:B14"/>
  </mergeCells>
  <printOptions/>
  <pageMargins left="0.7086614173228347" right="0.31496062992125984" top="0.7480314960629921" bottom="0.7480314960629921" header="0.31496062992125984" footer="0.31496062992125984"/>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J27"/>
  <sheetViews>
    <sheetView zoomScalePageLayoutView="0" workbookViewId="0" topLeftCell="A5">
      <selection activeCell="A1" sqref="A1:J27"/>
    </sheetView>
  </sheetViews>
  <sheetFormatPr defaultColWidth="9.33203125" defaultRowHeight="12.75"/>
  <cols>
    <col min="1" max="1" width="65.33203125" style="0" customWidth="1"/>
    <col min="2" max="2" width="20.5" style="0" customWidth="1"/>
    <col min="3" max="3" width="16" style="0" customWidth="1"/>
    <col min="4" max="5" width="12.5" style="0" customWidth="1"/>
    <col min="6" max="6" width="13.83203125" style="0" customWidth="1"/>
    <col min="7" max="7" width="0.1640625" style="0" hidden="1" customWidth="1"/>
    <col min="8" max="9" width="12.5" style="0" customWidth="1"/>
    <col min="10" max="10" width="6.83203125" style="0" customWidth="1"/>
  </cols>
  <sheetData>
    <row r="1" spans="1:10" ht="86.25" customHeight="1">
      <c r="A1" s="1220" t="s">
        <v>236</v>
      </c>
      <c r="B1" s="1220"/>
      <c r="C1" s="1220"/>
      <c r="D1" s="1220"/>
      <c r="E1" s="1220"/>
      <c r="F1" s="1220"/>
      <c r="H1" s="1220" t="s">
        <v>237</v>
      </c>
      <c r="I1" s="1220"/>
      <c r="J1" s="970"/>
    </row>
    <row r="2" spans="1:9" ht="15.75" customHeight="1">
      <c r="A2" s="17" t="s">
        <v>238</v>
      </c>
      <c r="B2" s="17" t="s">
        <v>239</v>
      </c>
      <c r="C2" s="17" t="s">
        <v>1358</v>
      </c>
      <c r="D2" s="981" t="s">
        <v>1357</v>
      </c>
      <c r="E2" s="981" t="s">
        <v>1356</v>
      </c>
      <c r="F2" s="1240" t="s">
        <v>1911</v>
      </c>
      <c r="G2" s="1241"/>
      <c r="H2" s="981" t="s">
        <v>1912</v>
      </c>
      <c r="I2" s="981" t="s">
        <v>1913</v>
      </c>
    </row>
    <row r="3" spans="1:9" ht="15.75" customHeight="1">
      <c r="A3" s="18">
        <v>1</v>
      </c>
      <c r="B3" s="18">
        <v>2</v>
      </c>
      <c r="C3" s="18">
        <v>3</v>
      </c>
      <c r="D3" s="18">
        <v>4</v>
      </c>
      <c r="E3" s="18">
        <v>5</v>
      </c>
      <c r="F3" s="1242">
        <v>6</v>
      </c>
      <c r="G3" s="1243"/>
      <c r="H3" s="18">
        <v>7</v>
      </c>
      <c r="I3" s="18">
        <v>8</v>
      </c>
    </row>
    <row r="4" spans="1:9" ht="15.75" customHeight="1">
      <c r="A4" s="19" t="s">
        <v>240</v>
      </c>
      <c r="B4" s="20" t="s">
        <v>241</v>
      </c>
      <c r="C4" s="979">
        <v>15.5</v>
      </c>
      <c r="D4" s="979">
        <v>15.5</v>
      </c>
      <c r="E4" s="979">
        <v>15.5</v>
      </c>
      <c r="F4" s="1226">
        <v>15.5</v>
      </c>
      <c r="G4" s="1228"/>
      <c r="H4" s="979">
        <v>15.5</v>
      </c>
      <c r="I4" s="979">
        <v>15.5</v>
      </c>
    </row>
    <row r="5" spans="1:9" ht="15.75" customHeight="1">
      <c r="A5" s="19" t="s">
        <v>242</v>
      </c>
      <c r="B5" s="20" t="s">
        <v>241</v>
      </c>
      <c r="C5" s="979"/>
      <c r="D5" s="979"/>
      <c r="E5" s="979"/>
      <c r="F5" s="1226"/>
      <c r="G5" s="1228"/>
      <c r="H5" s="979"/>
      <c r="I5" s="979"/>
    </row>
    <row r="6" spans="1:9" ht="15.75" customHeight="1">
      <c r="A6" s="5" t="s">
        <v>243</v>
      </c>
      <c r="B6" s="20" t="s">
        <v>241</v>
      </c>
      <c r="C6" s="979">
        <v>29.12</v>
      </c>
      <c r="D6" s="979">
        <v>29.12</v>
      </c>
      <c r="E6" s="979">
        <v>29.12</v>
      </c>
      <c r="F6" s="1226">
        <v>29.12</v>
      </c>
      <c r="G6" s="1228"/>
      <c r="H6" s="979">
        <v>29.12</v>
      </c>
      <c r="I6" s="979">
        <v>29.12</v>
      </c>
    </row>
    <row r="7" spans="1:9" ht="15.75" customHeight="1">
      <c r="A7" s="19" t="s">
        <v>244</v>
      </c>
      <c r="B7" s="20" t="s">
        <v>241</v>
      </c>
      <c r="C7" s="979"/>
      <c r="D7" s="979"/>
      <c r="E7" s="979"/>
      <c r="F7" s="1226"/>
      <c r="G7" s="1228"/>
      <c r="H7" s="979"/>
      <c r="I7" s="979"/>
    </row>
    <row r="8" spans="1:9" ht="15.75" customHeight="1">
      <c r="A8" s="21" t="s">
        <v>245</v>
      </c>
      <c r="B8" s="20" t="s">
        <v>241</v>
      </c>
      <c r="C8" s="979"/>
      <c r="D8" s="979"/>
      <c r="E8" s="979"/>
      <c r="F8" s="1226"/>
      <c r="G8" s="1228"/>
      <c r="H8" s="979"/>
      <c r="I8" s="979"/>
    </row>
    <row r="9" spans="1:9" ht="15.75" customHeight="1">
      <c r="A9" s="22" t="s">
        <v>246</v>
      </c>
      <c r="B9" s="20" t="s">
        <v>241</v>
      </c>
      <c r="C9" s="979"/>
      <c r="D9" s="979"/>
      <c r="E9" s="979"/>
      <c r="F9" s="1226"/>
      <c r="G9" s="1228"/>
      <c r="H9" s="979"/>
      <c r="I9" s="979"/>
    </row>
    <row r="10" spans="1:9" ht="15.75" customHeight="1">
      <c r="A10" s="22" t="s">
        <v>247</v>
      </c>
      <c r="B10" s="20" t="s">
        <v>241</v>
      </c>
      <c r="C10" s="979"/>
      <c r="D10" s="979"/>
      <c r="E10" s="979"/>
      <c r="F10" s="1226"/>
      <c r="G10" s="1228"/>
      <c r="H10" s="979"/>
      <c r="I10" s="979"/>
    </row>
    <row r="11" spans="1:9" ht="15.75" customHeight="1">
      <c r="A11" s="21" t="s">
        <v>248</v>
      </c>
      <c r="B11" s="20" t="s">
        <v>241</v>
      </c>
      <c r="C11" s="979"/>
      <c r="D11" s="979"/>
      <c r="E11" s="979"/>
      <c r="F11" s="1226"/>
      <c r="G11" s="1228"/>
      <c r="H11" s="979"/>
      <c r="I11" s="979"/>
    </row>
    <row r="12" spans="1:9" ht="15.75" customHeight="1">
      <c r="A12" s="22" t="s">
        <v>246</v>
      </c>
      <c r="B12" s="20" t="s">
        <v>241</v>
      </c>
      <c r="C12" s="979"/>
      <c r="D12" s="979"/>
      <c r="E12" s="979"/>
      <c r="F12" s="1226"/>
      <c r="G12" s="1228"/>
      <c r="H12" s="979"/>
      <c r="I12" s="979"/>
    </row>
    <row r="13" spans="1:9" ht="15.75" customHeight="1">
      <c r="A13" s="22" t="s">
        <v>247</v>
      </c>
      <c r="B13" s="20" t="s">
        <v>241</v>
      </c>
      <c r="C13" s="979"/>
      <c r="D13" s="979"/>
      <c r="E13" s="979"/>
      <c r="F13" s="1226"/>
      <c r="G13" s="1228"/>
      <c r="H13" s="979"/>
      <c r="I13" s="979"/>
    </row>
    <row r="14" spans="1:9" ht="15.75" customHeight="1">
      <c r="A14" s="19" t="s">
        <v>249</v>
      </c>
      <c r="B14" s="20" t="s">
        <v>241</v>
      </c>
      <c r="C14" s="979">
        <v>5</v>
      </c>
      <c r="D14" s="979">
        <v>5</v>
      </c>
      <c r="E14" s="979">
        <v>5</v>
      </c>
      <c r="F14" s="1226">
        <v>5</v>
      </c>
      <c r="G14" s="1228"/>
      <c r="H14" s="979">
        <v>5</v>
      </c>
      <c r="I14" s="979">
        <v>5</v>
      </c>
    </row>
    <row r="15" spans="1:9" ht="15.75" customHeight="1">
      <c r="A15" s="19" t="s">
        <v>250</v>
      </c>
      <c r="B15" s="20" t="s">
        <v>251</v>
      </c>
      <c r="C15" s="979">
        <v>2646</v>
      </c>
      <c r="D15" s="979">
        <v>2646</v>
      </c>
      <c r="E15" s="979">
        <v>2646</v>
      </c>
      <c r="F15" s="1226">
        <v>2646</v>
      </c>
      <c r="G15" s="1228"/>
      <c r="H15" s="979">
        <v>2646</v>
      </c>
      <c r="I15" s="979">
        <v>2646</v>
      </c>
    </row>
    <row r="16" spans="1:9" ht="15.75" customHeight="1">
      <c r="A16" s="19" t="s">
        <v>252</v>
      </c>
      <c r="B16" s="20" t="s">
        <v>253</v>
      </c>
      <c r="C16" s="979"/>
      <c r="D16" s="979"/>
      <c r="E16" s="979"/>
      <c r="F16" s="1226"/>
      <c r="G16" s="1228"/>
      <c r="H16" s="979"/>
      <c r="I16" s="979"/>
    </row>
    <row r="17" spans="1:9" ht="15.75" customHeight="1">
      <c r="A17" s="5" t="s">
        <v>254</v>
      </c>
      <c r="B17" s="20" t="s">
        <v>255</v>
      </c>
      <c r="C17" s="979"/>
      <c r="D17" s="979"/>
      <c r="E17" s="979"/>
      <c r="F17" s="1226"/>
      <c r="G17" s="1228"/>
      <c r="H17" s="979"/>
      <c r="I17" s="979"/>
    </row>
    <row r="18" spans="1:9" ht="15.75" customHeight="1">
      <c r="A18" s="5" t="s">
        <v>256</v>
      </c>
      <c r="B18" s="20" t="s">
        <v>255</v>
      </c>
      <c r="C18" s="979"/>
      <c r="D18" s="979"/>
      <c r="E18" s="979"/>
      <c r="F18" s="1226"/>
      <c r="G18" s="1228"/>
      <c r="H18" s="979"/>
      <c r="I18" s="979"/>
    </row>
    <row r="19" spans="1:9" ht="15.75" customHeight="1">
      <c r="A19" s="5" t="s">
        <v>257</v>
      </c>
      <c r="B19" s="20" t="s">
        <v>255</v>
      </c>
      <c r="C19" s="979">
        <v>1</v>
      </c>
      <c r="D19" s="979">
        <v>1</v>
      </c>
      <c r="E19" s="979">
        <v>1</v>
      </c>
      <c r="F19" s="1226">
        <v>1</v>
      </c>
      <c r="G19" s="1228"/>
      <c r="H19" s="979">
        <v>1</v>
      </c>
      <c r="I19" s="979">
        <v>1</v>
      </c>
    </row>
    <row r="20" spans="1:9" ht="15.75" customHeight="1">
      <c r="A20" s="5" t="s">
        <v>258</v>
      </c>
      <c r="B20" s="20" t="s">
        <v>255</v>
      </c>
      <c r="C20" s="979"/>
      <c r="D20" s="979"/>
      <c r="E20" s="979"/>
      <c r="F20" s="1226"/>
      <c r="G20" s="1228"/>
      <c r="H20" s="979"/>
      <c r="I20" s="979"/>
    </row>
    <row r="21" spans="1:9" ht="15.75" customHeight="1">
      <c r="A21" s="19" t="s">
        <v>259</v>
      </c>
      <c r="B21" s="20" t="s">
        <v>260</v>
      </c>
      <c r="C21" s="979">
        <v>46.4</v>
      </c>
      <c r="D21" s="979">
        <v>49.5</v>
      </c>
      <c r="E21" s="979">
        <v>53</v>
      </c>
      <c r="F21" s="1226">
        <v>56.6</v>
      </c>
      <c r="G21" s="1228"/>
      <c r="H21" s="979">
        <v>60.45</v>
      </c>
      <c r="I21" s="979">
        <v>64.56</v>
      </c>
    </row>
    <row r="22" spans="1:9" ht="15.75" customHeight="1">
      <c r="A22" s="19" t="s">
        <v>261</v>
      </c>
      <c r="B22" s="20" t="s">
        <v>262</v>
      </c>
      <c r="C22" s="979">
        <v>30</v>
      </c>
      <c r="D22" s="979">
        <v>30</v>
      </c>
      <c r="E22" s="979">
        <v>30</v>
      </c>
      <c r="F22" s="1226">
        <v>30</v>
      </c>
      <c r="G22" s="1228"/>
      <c r="H22" s="979">
        <v>30</v>
      </c>
      <c r="I22" s="979">
        <v>30</v>
      </c>
    </row>
    <row r="23" spans="1:9" ht="15.75" customHeight="1">
      <c r="A23" s="19" t="s">
        <v>263</v>
      </c>
      <c r="B23" s="20" t="s">
        <v>255</v>
      </c>
      <c r="C23" s="979">
        <v>2</v>
      </c>
      <c r="D23" s="979">
        <v>2</v>
      </c>
      <c r="E23" s="979" t="s">
        <v>1940</v>
      </c>
      <c r="F23" s="1226" t="s">
        <v>1940</v>
      </c>
      <c r="G23" s="1228"/>
      <c r="H23" s="979" t="s">
        <v>1941</v>
      </c>
      <c r="I23" s="979" t="s">
        <v>1940</v>
      </c>
    </row>
    <row r="24" spans="1:9" ht="15.75" customHeight="1">
      <c r="A24" s="19" t="s">
        <v>264</v>
      </c>
      <c r="B24" s="20" t="s">
        <v>265</v>
      </c>
      <c r="C24" s="979"/>
      <c r="D24" s="979"/>
      <c r="E24" s="979"/>
      <c r="F24" s="1226"/>
      <c r="G24" s="1228"/>
      <c r="H24" s="979"/>
      <c r="I24" s="979"/>
    </row>
    <row r="25" spans="1:9" ht="15.75" customHeight="1">
      <c r="A25" s="5" t="s">
        <v>266</v>
      </c>
      <c r="B25" s="20" t="s">
        <v>241</v>
      </c>
      <c r="C25" s="979">
        <v>12.55</v>
      </c>
      <c r="D25" s="979">
        <v>12.55</v>
      </c>
      <c r="E25" s="979">
        <v>12.05</v>
      </c>
      <c r="F25" s="1226">
        <v>12.05</v>
      </c>
      <c r="G25" s="1228"/>
      <c r="H25" s="979">
        <v>12.05</v>
      </c>
      <c r="I25" s="979">
        <v>12.05</v>
      </c>
    </row>
    <row r="26" spans="1:9" ht="15.75" customHeight="1">
      <c r="A26" s="19" t="s">
        <v>267</v>
      </c>
      <c r="B26" s="4"/>
      <c r="C26" s="979"/>
      <c r="D26" s="979"/>
      <c r="E26" s="979"/>
      <c r="F26" s="1226"/>
      <c r="G26" s="1228"/>
      <c r="H26" s="979"/>
      <c r="I26" s="979"/>
    </row>
    <row r="27" spans="1:10" ht="69" customHeight="1">
      <c r="A27" s="1198" t="s">
        <v>268</v>
      </c>
      <c r="B27" s="1198"/>
      <c r="C27" s="1198"/>
      <c r="D27" s="1198"/>
      <c r="E27" s="1198"/>
      <c r="F27" s="1198"/>
      <c r="G27" s="1198"/>
      <c r="H27" s="1198"/>
      <c r="I27" s="1198"/>
      <c r="J27" s="1198"/>
    </row>
  </sheetData>
  <sheetProtection/>
  <mergeCells count="28">
    <mergeCell ref="A27:J27"/>
    <mergeCell ref="F18:G18"/>
    <mergeCell ref="F19:G19"/>
    <mergeCell ref="F20:G20"/>
    <mergeCell ref="F21:G21"/>
    <mergeCell ref="F22:G22"/>
    <mergeCell ref="F23:G23"/>
    <mergeCell ref="F24:G24"/>
    <mergeCell ref="F25:G25"/>
    <mergeCell ref="F8:G8"/>
    <mergeCell ref="F9:G9"/>
    <mergeCell ref="F10:G10"/>
    <mergeCell ref="F11:G11"/>
    <mergeCell ref="F26:G26"/>
    <mergeCell ref="F15:G15"/>
    <mergeCell ref="F16:G16"/>
    <mergeCell ref="F17:G17"/>
    <mergeCell ref="F12:G12"/>
    <mergeCell ref="F13:G13"/>
    <mergeCell ref="F14:G14"/>
    <mergeCell ref="F5:G5"/>
    <mergeCell ref="A1:F1"/>
    <mergeCell ref="H1:I1"/>
    <mergeCell ref="F2:G2"/>
    <mergeCell ref="F3:G3"/>
    <mergeCell ref="F4:G4"/>
    <mergeCell ref="F6:G6"/>
    <mergeCell ref="F7:G7"/>
  </mergeCells>
  <printOptions horizontalCentered="1" verticalCentered="1"/>
  <pageMargins left="0.16" right="0.22" top="0.44" bottom="0.38" header="0.3" footer="0.3"/>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D51"/>
  <sheetViews>
    <sheetView zoomScalePageLayoutView="0" workbookViewId="0" topLeftCell="P1">
      <selection activeCell="U56" sqref="U56"/>
    </sheetView>
  </sheetViews>
  <sheetFormatPr defaultColWidth="9.33203125" defaultRowHeight="12.75"/>
  <cols>
    <col min="1" max="1" width="4" style="90" customWidth="1"/>
    <col min="2" max="2" width="9" style="90" customWidth="1"/>
    <col min="3" max="3" width="12.33203125" style="90" customWidth="1"/>
    <col min="4" max="4" width="13" style="90" customWidth="1"/>
    <col min="5" max="5" width="8.83203125" style="90" customWidth="1"/>
    <col min="6" max="6" width="0.1640625" style="90" customWidth="1"/>
    <col min="7" max="7" width="11.66015625" style="90" hidden="1" customWidth="1"/>
    <col min="8" max="8" width="8.83203125" style="90" hidden="1" customWidth="1"/>
    <col min="9" max="9" width="11.66015625" style="90" hidden="1" customWidth="1"/>
    <col min="10" max="10" width="9.33203125" style="90" customWidth="1"/>
    <col min="11" max="11" width="7.5" style="90" customWidth="1"/>
    <col min="12" max="12" width="10.33203125" style="90" customWidth="1"/>
    <col min="13" max="13" width="19.16015625" style="90" customWidth="1"/>
    <col min="14" max="14" width="13.83203125" style="90" hidden="1" customWidth="1"/>
    <col min="15" max="16" width="12.66015625" style="90" customWidth="1"/>
    <col min="17" max="17" width="13.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3" style="90" customWidth="1"/>
    <col min="26" max="26" width="16.66015625" style="90" customWidth="1"/>
    <col min="27" max="27" width="8.66015625" style="90" customWidth="1"/>
    <col min="28" max="28" width="6.83203125" style="90" customWidth="1"/>
    <col min="29" max="29" width="12" style="90" customWidth="1"/>
    <col min="30" max="30" width="17.16015625" style="90" customWidth="1"/>
    <col min="31" max="16384" width="9.33203125" style="90" customWidth="1"/>
  </cols>
  <sheetData>
    <row r="1" spans="1:29" ht="21">
      <c r="A1" s="1103" t="s">
        <v>1898</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852"/>
      <c r="AB1" s="852"/>
      <c r="AC1" s="852"/>
    </row>
    <row r="2" spans="1:30" ht="75">
      <c r="A2" s="853" t="s">
        <v>1230</v>
      </c>
      <c r="B2" s="854" t="s">
        <v>1229</v>
      </c>
      <c r="C2" s="855"/>
      <c r="D2" s="1104" t="s">
        <v>1228</v>
      </c>
      <c r="E2" s="1105"/>
      <c r="F2" s="1105"/>
      <c r="G2" s="1106"/>
      <c r="H2" s="1104"/>
      <c r="I2" s="1106"/>
      <c r="J2" s="1107" t="s">
        <v>1227</v>
      </c>
      <c r="K2" s="1108"/>
      <c r="L2" s="1109"/>
      <c r="M2" s="856" t="s">
        <v>1226</v>
      </c>
      <c r="N2" s="856" t="s">
        <v>1225</v>
      </c>
      <c r="O2" s="857" t="s">
        <v>1224</v>
      </c>
      <c r="P2" s="857" t="s">
        <v>1223</v>
      </c>
      <c r="Q2" s="858" t="s">
        <v>1222</v>
      </c>
      <c r="R2" s="859" t="s">
        <v>1221</v>
      </c>
      <c r="S2" s="859" t="s">
        <v>1220</v>
      </c>
      <c r="T2" s="860" t="s">
        <v>1219</v>
      </c>
      <c r="U2" s="861" t="s">
        <v>1218</v>
      </c>
      <c r="V2" s="861" t="s">
        <v>1217</v>
      </c>
      <c r="W2" s="862" t="s">
        <v>1216</v>
      </c>
      <c r="X2" s="862" t="s">
        <v>1215</v>
      </c>
      <c r="Y2" s="862" t="s">
        <v>1214</v>
      </c>
      <c r="Z2" s="861" t="s">
        <v>1213</v>
      </c>
      <c r="AA2" s="862" t="s">
        <v>1212</v>
      </c>
      <c r="AB2" s="862" t="s">
        <v>1211</v>
      </c>
      <c r="AC2" s="863" t="s">
        <v>1763</v>
      </c>
      <c r="AD2" s="864" t="s">
        <v>1837</v>
      </c>
    </row>
    <row r="3" spans="1:30" ht="45">
      <c r="A3" s="865"/>
      <c r="B3" s="865"/>
      <c r="C3" s="865"/>
      <c r="D3" s="866" t="s">
        <v>1203</v>
      </c>
      <c r="E3" s="866" t="s">
        <v>1208</v>
      </c>
      <c r="F3" s="866" t="s">
        <v>1207</v>
      </c>
      <c r="G3" s="867" t="s">
        <v>1206</v>
      </c>
      <c r="H3" s="866" t="s">
        <v>1205</v>
      </c>
      <c r="I3" s="867" t="s">
        <v>1204</v>
      </c>
      <c r="J3" s="866" t="s">
        <v>1203</v>
      </c>
      <c r="K3" s="866" t="s">
        <v>1202</v>
      </c>
      <c r="L3" s="866"/>
      <c r="M3" s="861"/>
      <c r="N3" s="861"/>
      <c r="O3" s="868"/>
      <c r="P3" s="869"/>
      <c r="Q3" s="870"/>
      <c r="R3" s="870"/>
      <c r="S3" s="870"/>
      <c r="T3" s="871"/>
      <c r="U3" s="872"/>
      <c r="V3" s="872"/>
      <c r="W3" s="872"/>
      <c r="X3" s="870"/>
      <c r="Y3" s="870"/>
      <c r="Z3" s="870"/>
      <c r="AA3" s="870"/>
      <c r="AB3" s="873"/>
      <c r="AC3" s="873"/>
      <c r="AD3" s="107">
        <v>346400000</v>
      </c>
    </row>
    <row r="4" spans="1:29" ht="15">
      <c r="A4" s="1110">
        <v>1</v>
      </c>
      <c r="B4" s="1113" t="s">
        <v>1899</v>
      </c>
      <c r="C4" s="874" t="s">
        <v>1189</v>
      </c>
      <c r="D4" s="875">
        <v>10836.708</v>
      </c>
      <c r="E4" s="875"/>
      <c r="F4" s="876" t="e">
        <f aca="true" t="shared" si="0" ref="F4:F32">ROUND((2646*W4*100)/(U4*(100-R4)),2)</f>
        <v>#DIV/0!</v>
      </c>
      <c r="G4" s="876" t="e">
        <f aca="true" t="shared" si="1" ref="G4:G39">(Q4*F4)-Y4</f>
        <v>#DIV/0!</v>
      </c>
      <c r="H4" s="876" t="e">
        <f aca="true" t="shared" si="2" ref="H4:H39">ROUND((S4*W4*100)/(U4*95),2)</f>
        <v>#DIV/0!</v>
      </c>
      <c r="I4" s="876" t="e">
        <f aca="true" t="shared" si="3" ref="I4:I39">(Q4*H4)-Y4</f>
        <v>#DIV/0!</v>
      </c>
      <c r="J4" s="875">
        <v>2376401</v>
      </c>
      <c r="K4" s="876"/>
      <c r="L4" s="876">
        <f>J4+K4</f>
        <v>2376401</v>
      </c>
      <c r="M4" s="877">
        <f>D4*J4+E4*K4</f>
        <v>25752363727.908</v>
      </c>
      <c r="N4" s="877" t="e">
        <f>H4*J4+I4*K4</f>
        <v>#DIV/0!</v>
      </c>
      <c r="O4" s="873"/>
      <c r="P4" s="873"/>
      <c r="Q4" s="878"/>
      <c r="R4" s="879" t="e">
        <f aca="true" t="shared" si="4" ref="R4:R39">P4*100/O4</f>
        <v>#DIV/0!</v>
      </c>
      <c r="S4" s="879" t="e">
        <f aca="true" t="shared" si="5" ref="S4:S39">ROUND((M4)/O4,2)</f>
        <v>#DIV/0!</v>
      </c>
      <c r="T4" s="880"/>
      <c r="U4" s="881">
        <f aca="true" t="shared" si="6" ref="U4:U39">M4/L4</f>
        <v>10836.708</v>
      </c>
      <c r="V4" s="882">
        <v>18074287</v>
      </c>
      <c r="W4" s="883">
        <f aca="true" t="shared" si="7" ref="W4:W39">ROUND(V4/L4,3)</f>
        <v>7.606</v>
      </c>
      <c r="X4" s="881">
        <f aca="true" t="shared" si="8" ref="X4:X39">ROUND((2646*W4*100)/(U4*95),2)</f>
        <v>1.95</v>
      </c>
      <c r="Y4" s="884">
        <f aca="true" t="shared" si="9" ref="Y4:Y39">X4*Q4</f>
        <v>0</v>
      </c>
      <c r="Z4" s="885">
        <f aca="true" t="shared" si="10" ref="Z4:Z39">Y4-V4</f>
        <v>-18074287</v>
      </c>
      <c r="AA4" s="870"/>
      <c r="AB4" s="873"/>
      <c r="AC4" s="873"/>
    </row>
    <row r="5" spans="1:29" ht="15">
      <c r="A5" s="1111"/>
      <c r="B5" s="1114"/>
      <c r="C5" s="874" t="s">
        <v>1188</v>
      </c>
      <c r="D5" s="875">
        <v>10878.296</v>
      </c>
      <c r="E5" s="875"/>
      <c r="F5" s="876" t="e">
        <f t="shared" si="0"/>
        <v>#DIV/0!</v>
      </c>
      <c r="G5" s="876" t="e">
        <f t="shared" si="1"/>
        <v>#DIV/0!</v>
      </c>
      <c r="H5" s="876" t="e">
        <f t="shared" si="2"/>
        <v>#DIV/0!</v>
      </c>
      <c r="I5" s="876" t="e">
        <f t="shared" si="3"/>
        <v>#DIV/0!</v>
      </c>
      <c r="J5" s="875">
        <v>2582428</v>
      </c>
      <c r="K5" s="876"/>
      <c r="L5" s="876">
        <f>J5+K5</f>
        <v>2582428</v>
      </c>
      <c r="M5" s="877">
        <f>D5*J5+E5*K5</f>
        <v>28092416182.688</v>
      </c>
      <c r="N5" s="877" t="e">
        <f>H5*L5</f>
        <v>#DIV/0!</v>
      </c>
      <c r="O5" s="873"/>
      <c r="P5" s="873"/>
      <c r="Q5" s="878"/>
      <c r="R5" s="879" t="e">
        <f t="shared" si="4"/>
        <v>#DIV/0!</v>
      </c>
      <c r="S5" s="879" t="e">
        <f t="shared" si="5"/>
        <v>#DIV/0!</v>
      </c>
      <c r="T5" s="886"/>
      <c r="U5" s="881">
        <f t="shared" si="6"/>
        <v>10878.296</v>
      </c>
      <c r="V5" s="872">
        <v>19722174</v>
      </c>
      <c r="W5" s="883">
        <f t="shared" si="7"/>
        <v>7.637</v>
      </c>
      <c r="X5" s="881">
        <f t="shared" si="8"/>
        <v>1.96</v>
      </c>
      <c r="Y5" s="884">
        <f t="shared" si="9"/>
        <v>0</v>
      </c>
      <c r="Z5" s="885">
        <f t="shared" si="10"/>
        <v>-19722174</v>
      </c>
      <c r="AA5" s="870"/>
      <c r="AB5" s="873"/>
      <c r="AC5" s="873"/>
    </row>
    <row r="6" spans="1:30" ht="15">
      <c r="A6" s="1112"/>
      <c r="B6" s="1115"/>
      <c r="C6" s="874" t="s">
        <v>1187</v>
      </c>
      <c r="D6" s="875"/>
      <c r="E6" s="875"/>
      <c r="F6" s="876">
        <f t="shared" si="0"/>
        <v>1.96</v>
      </c>
      <c r="G6" s="876">
        <f t="shared" si="1"/>
        <v>0</v>
      </c>
      <c r="H6" s="876">
        <f t="shared" si="2"/>
        <v>1.95</v>
      </c>
      <c r="I6" s="876">
        <f t="shared" si="3"/>
        <v>-192986</v>
      </c>
      <c r="J6" s="875"/>
      <c r="K6" s="876"/>
      <c r="L6" s="887">
        <f>SUM(L4:L5)</f>
        <v>4958829</v>
      </c>
      <c r="M6" s="888">
        <f>SUM(M4:M5)</f>
        <v>53844779910.596</v>
      </c>
      <c r="N6" s="877"/>
      <c r="O6" s="889">
        <v>20398970</v>
      </c>
      <c r="P6" s="889">
        <f>O6-Q6</f>
        <v>1100370</v>
      </c>
      <c r="Q6" s="878">
        <v>19298600</v>
      </c>
      <c r="R6" s="879">
        <f t="shared" si="4"/>
        <v>5.394242944619263</v>
      </c>
      <c r="S6" s="890">
        <f t="shared" si="5"/>
        <v>2639.58</v>
      </c>
      <c r="T6" s="891"/>
      <c r="U6" s="881">
        <f t="shared" si="6"/>
        <v>10858.365938933566</v>
      </c>
      <c r="V6" s="892">
        <f>V4+V5</f>
        <v>37796461</v>
      </c>
      <c r="W6" s="883">
        <f t="shared" si="7"/>
        <v>7.622</v>
      </c>
      <c r="X6" s="881">
        <f t="shared" si="8"/>
        <v>1.96</v>
      </c>
      <c r="Y6" s="882">
        <f t="shared" si="9"/>
        <v>37825256</v>
      </c>
      <c r="Z6" s="892">
        <f t="shared" si="10"/>
        <v>28795</v>
      </c>
      <c r="AA6" s="893">
        <f>O6*100/(780000*AB6)</f>
        <v>87.17508547008546</v>
      </c>
      <c r="AB6" s="873">
        <v>30</v>
      </c>
      <c r="AC6" s="873">
        <v>79058590</v>
      </c>
      <c r="AD6" s="107">
        <v>28866667</v>
      </c>
    </row>
    <row r="7" spans="1:30" ht="15">
      <c r="A7" s="1110">
        <v>2</v>
      </c>
      <c r="B7" s="1116" t="s">
        <v>1900</v>
      </c>
      <c r="C7" s="874" t="s">
        <v>1189</v>
      </c>
      <c r="D7" s="894">
        <v>10896.164</v>
      </c>
      <c r="E7" s="894"/>
      <c r="F7" s="876" t="e">
        <f t="shared" si="0"/>
        <v>#DIV/0!</v>
      </c>
      <c r="G7" s="876" t="e">
        <f t="shared" si="1"/>
        <v>#DIV/0!</v>
      </c>
      <c r="H7" s="876" t="e">
        <f t="shared" si="2"/>
        <v>#DIV/0!</v>
      </c>
      <c r="I7" s="876" t="e">
        <f t="shared" si="3"/>
        <v>#DIV/0!</v>
      </c>
      <c r="J7" s="894">
        <v>2543841</v>
      </c>
      <c r="K7" s="895"/>
      <c r="L7" s="896">
        <f>+J7+K7</f>
        <v>2543841</v>
      </c>
      <c r="M7" s="895">
        <f>D7*J7+E7*K7</f>
        <v>27718108725.924004</v>
      </c>
      <c r="N7" s="895" t="e">
        <f>H7*L7</f>
        <v>#DIV/0!</v>
      </c>
      <c r="O7" s="872"/>
      <c r="P7" s="897"/>
      <c r="Q7" s="878"/>
      <c r="R7" s="879" t="e">
        <f t="shared" si="4"/>
        <v>#DIV/0!</v>
      </c>
      <c r="S7" s="879" t="e">
        <f t="shared" si="5"/>
        <v>#DIV/0!</v>
      </c>
      <c r="T7" s="1118"/>
      <c r="U7" s="881">
        <f t="shared" si="6"/>
        <v>10896.164</v>
      </c>
      <c r="V7" s="872">
        <v>19838887</v>
      </c>
      <c r="W7" s="883">
        <f t="shared" si="7"/>
        <v>7.799</v>
      </c>
      <c r="X7" s="881">
        <f t="shared" si="8"/>
        <v>1.99</v>
      </c>
      <c r="Y7" s="884">
        <f t="shared" si="9"/>
        <v>0</v>
      </c>
      <c r="Z7" s="898">
        <f t="shared" si="10"/>
        <v>-19838887</v>
      </c>
      <c r="AA7" s="893" t="e">
        <f aca="true" t="shared" si="11" ref="AA7:AA39">O7*100/(780000*AB7)</f>
        <v>#DIV/0!</v>
      </c>
      <c r="AB7" s="872"/>
      <c r="AC7" s="872"/>
      <c r="AD7" s="107"/>
    </row>
    <row r="8" spans="1:30" ht="15">
      <c r="A8" s="1112"/>
      <c r="B8" s="1117"/>
      <c r="C8" s="874" t="s">
        <v>1188</v>
      </c>
      <c r="D8" s="894">
        <v>10865.485</v>
      </c>
      <c r="E8" s="894"/>
      <c r="F8" s="876" t="e">
        <f t="shared" si="0"/>
        <v>#DIV/0!</v>
      </c>
      <c r="G8" s="876" t="e">
        <f t="shared" si="1"/>
        <v>#DIV/0!</v>
      </c>
      <c r="H8" s="876" t="e">
        <f t="shared" si="2"/>
        <v>#DIV/0!</v>
      </c>
      <c r="I8" s="876" t="e">
        <f t="shared" si="3"/>
        <v>#DIV/0!</v>
      </c>
      <c r="J8" s="894">
        <v>2638848</v>
      </c>
      <c r="K8" s="894"/>
      <c r="L8" s="896">
        <f>+J8+K8</f>
        <v>2638848</v>
      </c>
      <c r="M8" s="895">
        <f>D8*J8+E8*K8</f>
        <v>28672363361.280003</v>
      </c>
      <c r="N8" s="895" t="e">
        <f>H8*L8</f>
        <v>#DIV/0!</v>
      </c>
      <c r="O8" s="872"/>
      <c r="P8" s="897"/>
      <c r="Q8" s="878"/>
      <c r="R8" s="879" t="e">
        <f t="shared" si="4"/>
        <v>#DIV/0!</v>
      </c>
      <c r="S8" s="879" t="e">
        <f t="shared" si="5"/>
        <v>#DIV/0!</v>
      </c>
      <c r="T8" s="1119"/>
      <c r="U8" s="881">
        <f t="shared" si="6"/>
        <v>10865.485</v>
      </c>
      <c r="V8" s="872">
        <v>20521828</v>
      </c>
      <c r="W8" s="883">
        <f t="shared" si="7"/>
        <v>7.777</v>
      </c>
      <c r="X8" s="881">
        <f t="shared" si="8"/>
        <v>1.99</v>
      </c>
      <c r="Y8" s="884">
        <f t="shared" si="9"/>
        <v>0</v>
      </c>
      <c r="Z8" s="898">
        <f t="shared" si="10"/>
        <v>-20521828</v>
      </c>
      <c r="AA8" s="893" t="e">
        <f t="shared" si="11"/>
        <v>#DIV/0!</v>
      </c>
      <c r="AB8" s="872"/>
      <c r="AC8" s="872"/>
      <c r="AD8" s="107"/>
    </row>
    <row r="9" spans="1:30" ht="15">
      <c r="A9" s="899"/>
      <c r="B9" s="900"/>
      <c r="C9" s="874" t="s">
        <v>1187</v>
      </c>
      <c r="D9" s="901"/>
      <c r="E9" s="901"/>
      <c r="F9" s="876">
        <f t="shared" si="0"/>
        <v>2</v>
      </c>
      <c r="G9" s="876">
        <f t="shared" si="1"/>
        <v>201854</v>
      </c>
      <c r="H9" s="876">
        <f t="shared" si="2"/>
        <v>1.99</v>
      </c>
      <c r="I9" s="876">
        <f t="shared" si="3"/>
        <v>0</v>
      </c>
      <c r="J9" s="901"/>
      <c r="K9" s="894"/>
      <c r="L9" s="902">
        <f>SUM(L7:L8)</f>
        <v>5182689</v>
      </c>
      <c r="M9" s="903">
        <f>SUM(M7:M8)</f>
        <v>56390472087.20401</v>
      </c>
      <c r="N9" s="895"/>
      <c r="O9" s="882">
        <v>21347410</v>
      </c>
      <c r="P9" s="889">
        <v>1162010</v>
      </c>
      <c r="Q9" s="904">
        <f>O9-P9</f>
        <v>20185400</v>
      </c>
      <c r="R9" s="879">
        <f t="shared" si="4"/>
        <v>5.443330127636092</v>
      </c>
      <c r="S9" s="890">
        <f t="shared" si="5"/>
        <v>2641.56</v>
      </c>
      <c r="T9" s="905"/>
      <c r="U9" s="881">
        <f t="shared" si="6"/>
        <v>10880.543302367556</v>
      </c>
      <c r="V9" s="892">
        <f>V7+V8</f>
        <v>40360715</v>
      </c>
      <c r="W9" s="883">
        <f t="shared" si="7"/>
        <v>7.788</v>
      </c>
      <c r="X9" s="881">
        <f t="shared" si="8"/>
        <v>1.99</v>
      </c>
      <c r="Y9" s="882">
        <f t="shared" si="9"/>
        <v>40168946</v>
      </c>
      <c r="Z9" s="892">
        <f t="shared" si="10"/>
        <v>-191769</v>
      </c>
      <c r="AA9" s="893">
        <f t="shared" si="11"/>
        <v>88.28540115798181</v>
      </c>
      <c r="AB9" s="872">
        <v>31</v>
      </c>
      <c r="AC9" s="872">
        <v>81402280</v>
      </c>
      <c r="AD9" s="107">
        <v>28866667</v>
      </c>
    </row>
    <row r="10" spans="1:30" ht="15">
      <c r="A10" s="1110">
        <v>3</v>
      </c>
      <c r="B10" s="1116" t="s">
        <v>1901</v>
      </c>
      <c r="C10" s="874" t="s">
        <v>1189</v>
      </c>
      <c r="D10" s="906">
        <v>10830.032</v>
      </c>
      <c r="E10" s="906"/>
      <c r="F10" s="876" t="e">
        <f t="shared" si="0"/>
        <v>#DIV/0!</v>
      </c>
      <c r="G10" s="876" t="e">
        <f t="shared" si="1"/>
        <v>#DIV/0!</v>
      </c>
      <c r="H10" s="876" t="e">
        <f t="shared" si="2"/>
        <v>#DIV/0!</v>
      </c>
      <c r="I10" s="876" t="e">
        <f t="shared" si="3"/>
        <v>#DIV/0!</v>
      </c>
      <c r="J10" s="906">
        <v>2496551</v>
      </c>
      <c r="K10" s="894"/>
      <c r="L10" s="896">
        <f aca="true" t="shared" si="12" ref="L10:L16">+J10+K10</f>
        <v>2496551</v>
      </c>
      <c r="M10" s="895">
        <f>D10*J10+E10*K10</f>
        <v>27037727219.632</v>
      </c>
      <c r="N10" s="895" t="e">
        <f>H10*L10</f>
        <v>#DIV/0!</v>
      </c>
      <c r="O10" s="872"/>
      <c r="P10" s="897"/>
      <c r="Q10" s="904"/>
      <c r="R10" s="879" t="e">
        <f t="shared" si="4"/>
        <v>#DIV/0!</v>
      </c>
      <c r="S10" s="879" t="e">
        <f t="shared" si="5"/>
        <v>#DIV/0!</v>
      </c>
      <c r="T10" s="1118"/>
      <c r="U10" s="881">
        <f t="shared" si="6"/>
        <v>10830.032</v>
      </c>
      <c r="V10" s="872">
        <v>19087438</v>
      </c>
      <c r="W10" s="883">
        <f t="shared" si="7"/>
        <v>7.646</v>
      </c>
      <c r="X10" s="881">
        <f t="shared" si="8"/>
        <v>1.97</v>
      </c>
      <c r="Y10" s="884">
        <f t="shared" si="9"/>
        <v>0</v>
      </c>
      <c r="Z10" s="898">
        <f t="shared" si="10"/>
        <v>-19087438</v>
      </c>
      <c r="AA10" s="893" t="e">
        <f t="shared" si="11"/>
        <v>#DIV/0!</v>
      </c>
      <c r="AB10" s="872"/>
      <c r="AC10" s="872"/>
      <c r="AD10" s="107"/>
    </row>
    <row r="11" spans="1:30" ht="15">
      <c r="A11" s="1112"/>
      <c r="B11" s="1117"/>
      <c r="C11" s="874" t="s">
        <v>1188</v>
      </c>
      <c r="D11" s="906">
        <v>10849.417</v>
      </c>
      <c r="E11" s="906"/>
      <c r="F11" s="876" t="e">
        <f t="shared" si="0"/>
        <v>#DIV/0!</v>
      </c>
      <c r="G11" s="876" t="e">
        <f t="shared" si="1"/>
        <v>#DIV/0!</v>
      </c>
      <c r="H11" s="876" t="e">
        <f t="shared" si="2"/>
        <v>#DIV/0!</v>
      </c>
      <c r="I11" s="876" t="e">
        <f t="shared" si="3"/>
        <v>#DIV/0!</v>
      </c>
      <c r="J11" s="894">
        <v>2587268</v>
      </c>
      <c r="K11" s="894"/>
      <c r="L11" s="896">
        <f t="shared" si="12"/>
        <v>2587268</v>
      </c>
      <c r="M11" s="895">
        <f>D11*J11+E11*K11</f>
        <v>28070349422.755997</v>
      </c>
      <c r="N11" s="895" t="e">
        <f>H11*L11</f>
        <v>#DIV/0!</v>
      </c>
      <c r="O11" s="872"/>
      <c r="P11" s="897"/>
      <c r="Q11" s="904"/>
      <c r="R11" s="879" t="e">
        <f t="shared" si="4"/>
        <v>#DIV/0!</v>
      </c>
      <c r="S11" s="879" t="e">
        <f t="shared" si="5"/>
        <v>#DIV/0!</v>
      </c>
      <c r="T11" s="1119"/>
      <c r="U11" s="881">
        <f t="shared" si="6"/>
        <v>10849.417</v>
      </c>
      <c r="V11" s="872">
        <v>19816433</v>
      </c>
      <c r="W11" s="883">
        <f t="shared" si="7"/>
        <v>7.659</v>
      </c>
      <c r="X11" s="881">
        <f t="shared" si="8"/>
        <v>1.97</v>
      </c>
      <c r="Y11" s="884">
        <f t="shared" si="9"/>
        <v>0</v>
      </c>
      <c r="Z11" s="898">
        <f t="shared" si="10"/>
        <v>-19816433</v>
      </c>
      <c r="AA11" s="893" t="e">
        <f t="shared" si="11"/>
        <v>#DIV/0!</v>
      </c>
      <c r="AB11" s="872"/>
      <c r="AC11" s="872"/>
      <c r="AD11" s="107"/>
    </row>
    <row r="12" spans="1:30" ht="15">
      <c r="A12" s="899"/>
      <c r="B12" s="900"/>
      <c r="C12" s="874" t="s">
        <v>1187</v>
      </c>
      <c r="D12" s="907"/>
      <c r="E12" s="907"/>
      <c r="F12" s="876">
        <f t="shared" si="0"/>
        <v>1.97</v>
      </c>
      <c r="G12" s="876">
        <f t="shared" si="1"/>
        <v>0</v>
      </c>
      <c r="H12" s="876">
        <f t="shared" si="2"/>
        <v>1.96</v>
      </c>
      <c r="I12" s="876">
        <f t="shared" si="3"/>
        <v>-197962</v>
      </c>
      <c r="J12" s="894"/>
      <c r="K12" s="894"/>
      <c r="L12" s="896">
        <f>SUM(L10:L11)</f>
        <v>5083819</v>
      </c>
      <c r="M12" s="903">
        <f>SUM(M10:M11)</f>
        <v>55108076642.388</v>
      </c>
      <c r="N12" s="895">
        <f>H12*L12</f>
        <v>9964285.24</v>
      </c>
      <c r="O12" s="882">
        <v>20913840</v>
      </c>
      <c r="P12" s="889">
        <v>1117640</v>
      </c>
      <c r="Q12" s="904">
        <f aca="true" t="shared" si="13" ref="Q12:Q39">O12-P12</f>
        <v>19796200</v>
      </c>
      <c r="R12" s="879">
        <f t="shared" si="4"/>
        <v>5.344020992797114</v>
      </c>
      <c r="S12" s="890">
        <f t="shared" si="5"/>
        <v>2635.01</v>
      </c>
      <c r="T12" s="908"/>
      <c r="U12" s="881">
        <f t="shared" si="6"/>
        <v>10839.897455512873</v>
      </c>
      <c r="V12" s="892">
        <f>V10+V11</f>
        <v>38903871</v>
      </c>
      <c r="W12" s="883">
        <f t="shared" si="7"/>
        <v>7.652</v>
      </c>
      <c r="X12" s="881">
        <f t="shared" si="8"/>
        <v>1.97</v>
      </c>
      <c r="Y12" s="882">
        <f t="shared" si="9"/>
        <v>38998514</v>
      </c>
      <c r="Z12" s="892">
        <f t="shared" si="10"/>
        <v>94643</v>
      </c>
      <c r="AA12" s="893">
        <f t="shared" si="11"/>
        <v>89.37538461538462</v>
      </c>
      <c r="AB12" s="872">
        <v>30</v>
      </c>
      <c r="AC12" s="872">
        <v>80231848</v>
      </c>
      <c r="AD12" s="107">
        <v>28866667</v>
      </c>
    </row>
    <row r="13" spans="1:30" ht="15">
      <c r="A13" s="1110">
        <v>4</v>
      </c>
      <c r="B13" s="1113" t="s">
        <v>1902</v>
      </c>
      <c r="C13" s="874" t="s">
        <v>1189</v>
      </c>
      <c r="D13" s="894">
        <v>10821.758</v>
      </c>
      <c r="E13" s="894"/>
      <c r="F13" s="901" t="e">
        <f t="shared" si="0"/>
        <v>#DIV/0!</v>
      </c>
      <c r="G13" s="876" t="e">
        <f t="shared" si="1"/>
        <v>#DIV/0!</v>
      </c>
      <c r="H13" s="909" t="e">
        <f t="shared" si="2"/>
        <v>#DIV/0!</v>
      </c>
      <c r="I13" s="876" t="e">
        <f t="shared" si="3"/>
        <v>#DIV/0!</v>
      </c>
      <c r="J13" s="894">
        <v>2578509</v>
      </c>
      <c r="K13" s="894"/>
      <c r="L13" s="896">
        <f t="shared" si="12"/>
        <v>2578509</v>
      </c>
      <c r="M13" s="895">
        <f>D13*J13+E13*K13</f>
        <v>27904000398.822</v>
      </c>
      <c r="N13" s="895" t="e">
        <f>H13*L13</f>
        <v>#DIV/0!</v>
      </c>
      <c r="O13" s="872"/>
      <c r="P13" s="897"/>
      <c r="Q13" s="904"/>
      <c r="R13" s="910" t="e">
        <f t="shared" si="4"/>
        <v>#DIV/0!</v>
      </c>
      <c r="S13" s="910" t="e">
        <f t="shared" si="5"/>
        <v>#DIV/0!</v>
      </c>
      <c r="T13" s="1120"/>
      <c r="U13" s="881">
        <f t="shared" si="6"/>
        <v>10821.758</v>
      </c>
      <c r="V13" s="872">
        <v>19745216</v>
      </c>
      <c r="W13" s="883">
        <f t="shared" si="7"/>
        <v>7.658</v>
      </c>
      <c r="X13" s="881">
        <f t="shared" si="8"/>
        <v>1.97</v>
      </c>
      <c r="Y13" s="884">
        <f t="shared" si="9"/>
        <v>0</v>
      </c>
      <c r="Z13" s="898">
        <f t="shared" si="10"/>
        <v>-19745216</v>
      </c>
      <c r="AA13" s="893" t="e">
        <f t="shared" si="11"/>
        <v>#DIV/0!</v>
      </c>
      <c r="AB13" s="872"/>
      <c r="AC13" s="872"/>
      <c r="AD13" s="107"/>
    </row>
    <row r="14" spans="1:30" ht="15">
      <c r="A14" s="1112"/>
      <c r="B14" s="1115"/>
      <c r="C14" s="874" t="s">
        <v>1188</v>
      </c>
      <c r="D14" s="911">
        <v>10860.283</v>
      </c>
      <c r="E14" s="911"/>
      <c r="F14" s="901" t="e">
        <f t="shared" si="0"/>
        <v>#DIV/0!</v>
      </c>
      <c r="G14" s="876" t="e">
        <f t="shared" si="1"/>
        <v>#DIV/0!</v>
      </c>
      <c r="H14" s="909" t="e">
        <f t="shared" si="2"/>
        <v>#DIV/0!</v>
      </c>
      <c r="I14" s="876" t="e">
        <f t="shared" si="3"/>
        <v>#DIV/0!</v>
      </c>
      <c r="J14" s="894">
        <v>2538501</v>
      </c>
      <c r="K14" s="894"/>
      <c r="L14" s="896">
        <f t="shared" si="12"/>
        <v>2538501</v>
      </c>
      <c r="M14" s="895">
        <f>D14*J14+E14*K14</f>
        <v>27568839255.782997</v>
      </c>
      <c r="N14" s="895" t="e">
        <f>H14*L14</f>
        <v>#DIV/0!</v>
      </c>
      <c r="O14" s="872"/>
      <c r="P14" s="897"/>
      <c r="Q14" s="904"/>
      <c r="R14" s="910" t="e">
        <f t="shared" si="4"/>
        <v>#DIV/0!</v>
      </c>
      <c r="S14" s="910" t="e">
        <f t="shared" si="5"/>
        <v>#DIV/0!</v>
      </c>
      <c r="T14" s="1120"/>
      <c r="U14" s="881">
        <f t="shared" si="6"/>
        <v>10860.283</v>
      </c>
      <c r="V14" s="872">
        <v>19508097</v>
      </c>
      <c r="W14" s="883">
        <f t="shared" si="7"/>
        <v>7.685</v>
      </c>
      <c r="X14" s="881">
        <f t="shared" si="8"/>
        <v>1.97</v>
      </c>
      <c r="Y14" s="872">
        <f t="shared" si="9"/>
        <v>0</v>
      </c>
      <c r="Z14" s="872">
        <f t="shared" si="10"/>
        <v>-19508097</v>
      </c>
      <c r="AA14" s="893" t="e">
        <f t="shared" si="11"/>
        <v>#DIV/0!</v>
      </c>
      <c r="AB14" s="872"/>
      <c r="AC14" s="872"/>
      <c r="AD14" s="107"/>
    </row>
    <row r="15" spans="1:30" ht="15">
      <c r="A15" s="899"/>
      <c r="B15" s="912"/>
      <c r="C15" s="874" t="s">
        <v>1187</v>
      </c>
      <c r="D15" s="911"/>
      <c r="E15" s="911"/>
      <c r="F15" s="901">
        <f t="shared" si="0"/>
        <v>1.97</v>
      </c>
      <c r="G15" s="876">
        <f t="shared" si="1"/>
        <v>0</v>
      </c>
      <c r="H15" s="909">
        <f t="shared" si="2"/>
        <v>1.98</v>
      </c>
      <c r="I15" s="876">
        <f t="shared" si="3"/>
        <v>198346</v>
      </c>
      <c r="J15" s="894"/>
      <c r="K15" s="894"/>
      <c r="L15" s="896">
        <f>SUM(L13:L14)</f>
        <v>5117010</v>
      </c>
      <c r="M15" s="903">
        <f>SUM(M13:M14)</f>
        <v>55472839654.604996</v>
      </c>
      <c r="N15" s="895" t="e">
        <f>SUM(N13:N14)</f>
        <v>#DIV/0!</v>
      </c>
      <c r="O15" s="903">
        <v>20904330</v>
      </c>
      <c r="P15" s="889">
        <v>1084930</v>
      </c>
      <c r="Q15" s="904">
        <v>19834600</v>
      </c>
      <c r="R15" s="910">
        <f t="shared" si="4"/>
        <v>5.189977387459918</v>
      </c>
      <c r="S15" s="914">
        <f t="shared" si="5"/>
        <v>2653.65</v>
      </c>
      <c r="T15" s="915"/>
      <c r="U15" s="881">
        <f t="shared" si="6"/>
        <v>10840.869893669349</v>
      </c>
      <c r="V15" s="892">
        <f>V13+V14</f>
        <v>39253313</v>
      </c>
      <c r="W15" s="883">
        <f t="shared" si="7"/>
        <v>7.671</v>
      </c>
      <c r="X15" s="881">
        <f t="shared" si="8"/>
        <v>1.97</v>
      </c>
      <c r="Y15" s="916">
        <f t="shared" si="9"/>
        <v>39074162</v>
      </c>
      <c r="Z15" s="917">
        <f t="shared" si="10"/>
        <v>-179151</v>
      </c>
      <c r="AA15" s="893">
        <f t="shared" si="11"/>
        <v>86.4529776674938</v>
      </c>
      <c r="AB15" s="872">
        <v>31</v>
      </c>
      <c r="AC15" s="872">
        <v>80277552</v>
      </c>
      <c r="AD15" s="107">
        <v>28866667</v>
      </c>
    </row>
    <row r="16" spans="1:30" ht="15">
      <c r="A16" s="1110">
        <v>5</v>
      </c>
      <c r="B16" s="1116" t="s">
        <v>1903</v>
      </c>
      <c r="C16" s="874" t="s">
        <v>1189</v>
      </c>
      <c r="D16" s="911">
        <v>10853.414</v>
      </c>
      <c r="E16" s="911"/>
      <c r="F16" s="901" t="e">
        <f t="shared" si="0"/>
        <v>#DIV/0!</v>
      </c>
      <c r="G16" s="876" t="e">
        <f t="shared" si="1"/>
        <v>#DIV/0!</v>
      </c>
      <c r="H16" s="909" t="e">
        <f t="shared" si="2"/>
        <v>#DIV/0!</v>
      </c>
      <c r="I16" s="876" t="e">
        <f t="shared" si="3"/>
        <v>#DIV/0!</v>
      </c>
      <c r="J16" s="894">
        <v>2558781</v>
      </c>
      <c r="K16" s="895"/>
      <c r="L16" s="896">
        <f t="shared" si="12"/>
        <v>2558781</v>
      </c>
      <c r="M16" s="895">
        <f>D16*J16+E16*K16</f>
        <v>27771509528.334003</v>
      </c>
      <c r="N16" s="895" t="e">
        <f>G16*K16+H16*L16</f>
        <v>#DIV/0!</v>
      </c>
      <c r="O16" s="872"/>
      <c r="P16" s="897"/>
      <c r="Q16" s="904">
        <f t="shared" si="13"/>
        <v>0</v>
      </c>
      <c r="R16" s="910" t="e">
        <f t="shared" si="4"/>
        <v>#DIV/0!</v>
      </c>
      <c r="S16" s="910" t="e">
        <f t="shared" si="5"/>
        <v>#DIV/0!</v>
      </c>
      <c r="T16" s="1118"/>
      <c r="U16" s="881">
        <f t="shared" si="6"/>
        <v>10853.414</v>
      </c>
      <c r="V16" s="872">
        <v>19871054</v>
      </c>
      <c r="W16" s="883">
        <f t="shared" si="7"/>
        <v>7.766</v>
      </c>
      <c r="X16" s="881">
        <f t="shared" si="8"/>
        <v>1.99</v>
      </c>
      <c r="Y16" s="916">
        <f t="shared" si="9"/>
        <v>0</v>
      </c>
      <c r="Z16" s="872">
        <f t="shared" si="10"/>
        <v>-19871054</v>
      </c>
      <c r="AA16" s="893" t="e">
        <f t="shared" si="11"/>
        <v>#DIV/0!</v>
      </c>
      <c r="AB16" s="872"/>
      <c r="AC16" s="872"/>
      <c r="AD16" s="107"/>
    </row>
    <row r="17" spans="1:30" ht="15">
      <c r="A17" s="1112"/>
      <c r="B17" s="1117"/>
      <c r="C17" s="874" t="s">
        <v>1188</v>
      </c>
      <c r="D17" s="894">
        <v>10851.615</v>
      </c>
      <c r="E17" s="894"/>
      <c r="F17" s="901" t="e">
        <f t="shared" si="0"/>
        <v>#DIV/0!</v>
      </c>
      <c r="G17" s="876" t="e">
        <f t="shared" si="1"/>
        <v>#DIV/0!</v>
      </c>
      <c r="H17" s="909" t="e">
        <f t="shared" si="2"/>
        <v>#DIV/0!</v>
      </c>
      <c r="I17" s="876" t="e">
        <f t="shared" si="3"/>
        <v>#DIV/0!</v>
      </c>
      <c r="J17" s="894">
        <v>2712646</v>
      </c>
      <c r="K17" s="894"/>
      <c r="L17" s="896">
        <f>SUM(J17+K17)</f>
        <v>2712646</v>
      </c>
      <c r="M17" s="895">
        <f>D17*J17+E17*K17</f>
        <v>29436590023.29</v>
      </c>
      <c r="N17" s="895" t="e">
        <f>H17*L17</f>
        <v>#DIV/0!</v>
      </c>
      <c r="O17" s="872"/>
      <c r="P17" s="897"/>
      <c r="Q17" s="904">
        <f t="shared" si="13"/>
        <v>0</v>
      </c>
      <c r="R17" s="910" t="e">
        <f t="shared" si="4"/>
        <v>#DIV/0!</v>
      </c>
      <c r="S17" s="910" t="e">
        <f t="shared" si="5"/>
        <v>#DIV/0!</v>
      </c>
      <c r="T17" s="1119"/>
      <c r="U17" s="881">
        <f t="shared" si="6"/>
        <v>10851.615</v>
      </c>
      <c r="V17" s="872">
        <v>21062447</v>
      </c>
      <c r="W17" s="883">
        <f t="shared" si="7"/>
        <v>7.765</v>
      </c>
      <c r="X17" s="881">
        <f t="shared" si="8"/>
        <v>1.99</v>
      </c>
      <c r="Y17" s="916">
        <f t="shared" si="9"/>
        <v>0</v>
      </c>
      <c r="Z17" s="872">
        <f t="shared" si="10"/>
        <v>-21062447</v>
      </c>
      <c r="AA17" s="893" t="e">
        <f t="shared" si="11"/>
        <v>#DIV/0!</v>
      </c>
      <c r="AB17" s="872"/>
      <c r="AC17" s="872"/>
      <c r="AD17" s="107"/>
    </row>
    <row r="18" spans="1:30" ht="15">
      <c r="A18" s="899"/>
      <c r="B18" s="900"/>
      <c r="C18" s="874" t="s">
        <v>1187</v>
      </c>
      <c r="D18" s="894"/>
      <c r="E18" s="894"/>
      <c r="F18" s="901">
        <f t="shared" si="0"/>
        <v>2</v>
      </c>
      <c r="G18" s="876">
        <f t="shared" si="1"/>
        <v>207136</v>
      </c>
      <c r="H18" s="909">
        <f t="shared" si="2"/>
        <v>1.97</v>
      </c>
      <c r="I18" s="876">
        <f t="shared" si="3"/>
        <v>-414272</v>
      </c>
      <c r="J18" s="901"/>
      <c r="K18" s="894"/>
      <c r="L18" s="896">
        <f>SUM(L16:L17)</f>
        <v>5271427</v>
      </c>
      <c r="M18" s="918">
        <f>SUM(M16:M17)</f>
        <v>57208099551.62401</v>
      </c>
      <c r="N18" s="919" t="e">
        <f>SUM(N16:N17)</f>
        <v>#DIV/0!</v>
      </c>
      <c r="O18" s="918">
        <v>21885740</v>
      </c>
      <c r="P18" s="889">
        <v>1172140</v>
      </c>
      <c r="Q18" s="904">
        <f t="shared" si="13"/>
        <v>20713600</v>
      </c>
      <c r="R18" s="910">
        <f t="shared" si="4"/>
        <v>5.35572477786906</v>
      </c>
      <c r="S18" s="914">
        <f t="shared" si="5"/>
        <v>2613.94</v>
      </c>
      <c r="T18" s="908"/>
      <c r="U18" s="881">
        <f t="shared" si="6"/>
        <v>10852.48824495227</v>
      </c>
      <c r="V18" s="892">
        <f>V16+V17</f>
        <v>40933501</v>
      </c>
      <c r="W18" s="883">
        <f t="shared" si="7"/>
        <v>7.765</v>
      </c>
      <c r="X18" s="881">
        <f t="shared" si="8"/>
        <v>1.99</v>
      </c>
      <c r="Y18" s="916">
        <f t="shared" si="9"/>
        <v>41220064</v>
      </c>
      <c r="Z18" s="917">
        <f t="shared" si="10"/>
        <v>286563</v>
      </c>
      <c r="AA18" s="893">
        <f t="shared" si="11"/>
        <v>90.51174524400331</v>
      </c>
      <c r="AB18" s="872">
        <v>31</v>
      </c>
      <c r="AC18" s="872">
        <v>82453398</v>
      </c>
      <c r="AD18" s="107">
        <v>28866667</v>
      </c>
    </row>
    <row r="19" spans="1:29" ht="15">
      <c r="A19" s="1110">
        <v>6</v>
      </c>
      <c r="B19" s="1116" t="s">
        <v>1904</v>
      </c>
      <c r="C19" s="874" t="s">
        <v>1189</v>
      </c>
      <c r="D19" s="906">
        <v>10880.324</v>
      </c>
      <c r="E19" s="906">
        <v>0</v>
      </c>
      <c r="F19" s="901" t="e">
        <f t="shared" si="0"/>
        <v>#DIV/0!</v>
      </c>
      <c r="G19" s="876" t="e">
        <f t="shared" si="1"/>
        <v>#DIV/0!</v>
      </c>
      <c r="H19" s="909" t="e">
        <f t="shared" si="2"/>
        <v>#DIV/0!</v>
      </c>
      <c r="I19" s="876" t="e">
        <f t="shared" si="3"/>
        <v>#DIV/0!</v>
      </c>
      <c r="J19" s="907">
        <v>2552574</v>
      </c>
      <c r="K19" s="894"/>
      <c r="L19" s="896">
        <f>J19+K19</f>
        <v>2552574</v>
      </c>
      <c r="M19" s="895">
        <f>D19*J19+E19*K19</f>
        <v>27772832153.976</v>
      </c>
      <c r="N19" s="895"/>
      <c r="O19" s="872"/>
      <c r="P19" s="897"/>
      <c r="Q19" s="904">
        <f t="shared" si="13"/>
        <v>0</v>
      </c>
      <c r="R19" s="910" t="e">
        <f t="shared" si="4"/>
        <v>#DIV/0!</v>
      </c>
      <c r="S19" s="914" t="e">
        <f t="shared" si="5"/>
        <v>#DIV/0!</v>
      </c>
      <c r="T19" s="1120"/>
      <c r="U19" s="881">
        <f t="shared" si="6"/>
        <v>10880.324</v>
      </c>
      <c r="V19" s="898">
        <v>19792547</v>
      </c>
      <c r="W19" s="883">
        <f t="shared" si="7"/>
        <v>7.754</v>
      </c>
      <c r="X19" s="881">
        <f t="shared" si="8"/>
        <v>1.98</v>
      </c>
      <c r="Y19" s="916">
        <f t="shared" si="9"/>
        <v>0</v>
      </c>
      <c r="Z19" s="917">
        <f t="shared" si="10"/>
        <v>-19792547</v>
      </c>
      <c r="AA19" s="893" t="e">
        <f t="shared" si="11"/>
        <v>#DIV/0!</v>
      </c>
      <c r="AB19" s="872"/>
      <c r="AC19" s="872"/>
    </row>
    <row r="20" spans="1:29" ht="15">
      <c r="A20" s="1112"/>
      <c r="B20" s="1117"/>
      <c r="C20" s="874" t="s">
        <v>1188</v>
      </c>
      <c r="D20" s="907">
        <v>10897.206</v>
      </c>
      <c r="E20" s="907"/>
      <c r="F20" s="901" t="e">
        <f t="shared" si="0"/>
        <v>#DIV/0!</v>
      </c>
      <c r="G20" s="876" t="e">
        <f t="shared" si="1"/>
        <v>#DIV/0!</v>
      </c>
      <c r="H20" s="909" t="e">
        <f t="shared" si="2"/>
        <v>#DIV/0!</v>
      </c>
      <c r="I20" s="876" t="e">
        <f t="shared" si="3"/>
        <v>#DIV/0!</v>
      </c>
      <c r="J20" s="894">
        <v>2555144</v>
      </c>
      <c r="K20" s="894"/>
      <c r="L20" s="896">
        <f>J20+K20</f>
        <v>2555144</v>
      </c>
      <c r="M20" s="895">
        <f>D20*J20+E20*K20</f>
        <v>27843930527.664</v>
      </c>
      <c r="N20" s="895"/>
      <c r="O20" s="872"/>
      <c r="P20" s="889"/>
      <c r="Q20" s="904">
        <f t="shared" si="13"/>
        <v>0</v>
      </c>
      <c r="R20" s="910" t="e">
        <f t="shared" si="4"/>
        <v>#DIV/0!</v>
      </c>
      <c r="S20" s="914" t="e">
        <f t="shared" si="5"/>
        <v>#DIV/0!</v>
      </c>
      <c r="T20" s="1120"/>
      <c r="U20" s="881">
        <f t="shared" si="6"/>
        <v>10897.206</v>
      </c>
      <c r="V20" s="892">
        <v>19843244</v>
      </c>
      <c r="W20" s="883">
        <f t="shared" si="7"/>
        <v>7.766</v>
      </c>
      <c r="X20" s="881">
        <f t="shared" si="8"/>
        <v>1.98</v>
      </c>
      <c r="Y20" s="916">
        <f t="shared" si="9"/>
        <v>0</v>
      </c>
      <c r="Z20" s="917">
        <f t="shared" si="10"/>
        <v>-19843244</v>
      </c>
      <c r="AA20" s="893" t="e">
        <f t="shared" si="11"/>
        <v>#DIV/0!</v>
      </c>
      <c r="AB20" s="872"/>
      <c r="AC20" s="872"/>
    </row>
    <row r="21" spans="1:30" ht="15">
      <c r="A21" s="899"/>
      <c r="B21" s="900"/>
      <c r="C21" s="874" t="s">
        <v>1187</v>
      </c>
      <c r="D21" s="907"/>
      <c r="E21" s="907"/>
      <c r="F21" s="901">
        <f t="shared" si="0"/>
        <v>1.99</v>
      </c>
      <c r="G21" s="876">
        <f t="shared" si="1"/>
        <v>200738</v>
      </c>
      <c r="H21" s="909">
        <f t="shared" si="2"/>
        <v>1.97</v>
      </c>
      <c r="I21" s="876">
        <f t="shared" si="3"/>
        <v>-200738</v>
      </c>
      <c r="J21" s="894"/>
      <c r="K21" s="894"/>
      <c r="L21" s="902">
        <f>L19+L20</f>
        <v>5107718</v>
      </c>
      <c r="M21" s="902">
        <f>M19+M20</f>
        <v>55616762681.64</v>
      </c>
      <c r="N21" s="895"/>
      <c r="O21" s="882">
        <v>21203500</v>
      </c>
      <c r="P21" s="889">
        <v>1129700</v>
      </c>
      <c r="Q21" s="904">
        <f t="shared" si="13"/>
        <v>20073800</v>
      </c>
      <c r="R21" s="910">
        <f t="shared" si="4"/>
        <v>5.327893979767492</v>
      </c>
      <c r="S21" s="914">
        <f t="shared" si="5"/>
        <v>2623</v>
      </c>
      <c r="T21" s="920"/>
      <c r="U21" s="881">
        <f t="shared" si="6"/>
        <v>10888.76924717457</v>
      </c>
      <c r="V21" s="892">
        <f>V19+V20</f>
        <v>39635791</v>
      </c>
      <c r="W21" s="883">
        <f t="shared" si="7"/>
        <v>7.76</v>
      </c>
      <c r="X21" s="881">
        <f t="shared" si="8"/>
        <v>1.98</v>
      </c>
      <c r="Y21" s="916">
        <f t="shared" si="9"/>
        <v>39746124</v>
      </c>
      <c r="Z21" s="917">
        <f t="shared" si="10"/>
        <v>110333</v>
      </c>
      <c r="AA21" s="893">
        <f t="shared" si="11"/>
        <v>90.61324786324786</v>
      </c>
      <c r="AB21" s="872">
        <v>30</v>
      </c>
      <c r="AC21" s="872">
        <v>80979456</v>
      </c>
      <c r="AD21" s="107">
        <v>28866667</v>
      </c>
    </row>
    <row r="22" spans="1:29" ht="15">
      <c r="A22" s="921">
        <v>7</v>
      </c>
      <c r="B22" s="922" t="s">
        <v>1905</v>
      </c>
      <c r="C22" s="874" t="s">
        <v>1189</v>
      </c>
      <c r="D22" s="153"/>
      <c r="E22" s="153">
        <v>0</v>
      </c>
      <c r="F22" s="901" t="e">
        <f t="shared" si="0"/>
        <v>#DIV/0!</v>
      </c>
      <c r="G22" s="876" t="e">
        <f t="shared" si="1"/>
        <v>#DIV/0!</v>
      </c>
      <c r="H22" s="909" t="e">
        <f t="shared" si="2"/>
        <v>#DIV/0!</v>
      </c>
      <c r="I22" s="876" t="e">
        <f t="shared" si="3"/>
        <v>#DIV/0!</v>
      </c>
      <c r="J22" s="153"/>
      <c r="K22" s="153"/>
      <c r="L22" s="902">
        <f>J22+K22</f>
        <v>0</v>
      </c>
      <c r="M22" s="902">
        <f>D22*J22+E22*K22</f>
        <v>0</v>
      </c>
      <c r="N22" s="923"/>
      <c r="O22" s="894"/>
      <c r="P22" s="889"/>
      <c r="Q22" s="904">
        <f t="shared" si="13"/>
        <v>0</v>
      </c>
      <c r="R22" s="910" t="e">
        <f t="shared" si="4"/>
        <v>#DIV/0!</v>
      </c>
      <c r="S22" s="914" t="e">
        <f t="shared" si="5"/>
        <v>#DIV/0!</v>
      </c>
      <c r="T22" s="920"/>
      <c r="U22" s="881" t="e">
        <f t="shared" si="6"/>
        <v>#DIV/0!</v>
      </c>
      <c r="V22" s="892"/>
      <c r="W22" s="883" t="e">
        <f t="shared" si="7"/>
        <v>#DIV/0!</v>
      </c>
      <c r="X22" s="881" t="e">
        <f t="shared" si="8"/>
        <v>#DIV/0!</v>
      </c>
      <c r="Y22" s="916" t="e">
        <f t="shared" si="9"/>
        <v>#DIV/0!</v>
      </c>
      <c r="Z22" s="917" t="e">
        <f t="shared" si="10"/>
        <v>#DIV/0!</v>
      </c>
      <c r="AA22" s="893" t="e">
        <f t="shared" si="11"/>
        <v>#DIV/0!</v>
      </c>
      <c r="AB22" s="872"/>
      <c r="AC22" s="872"/>
    </row>
    <row r="23" spans="1:29" ht="15">
      <c r="A23" s="1121"/>
      <c r="B23" s="1122"/>
      <c r="C23" s="874" t="s">
        <v>1188</v>
      </c>
      <c r="D23" s="153"/>
      <c r="E23" s="153">
        <v>0</v>
      </c>
      <c r="F23" s="901" t="e">
        <f t="shared" si="0"/>
        <v>#DIV/0!</v>
      </c>
      <c r="G23" s="876" t="e">
        <f t="shared" si="1"/>
        <v>#DIV/0!</v>
      </c>
      <c r="H23" s="909" t="e">
        <f t="shared" si="2"/>
        <v>#DIV/0!</v>
      </c>
      <c r="I23" s="876" t="e">
        <f t="shared" si="3"/>
        <v>#DIV/0!</v>
      </c>
      <c r="J23" s="153"/>
      <c r="K23" s="153"/>
      <c r="L23" s="902">
        <f>J23+K23</f>
        <v>0</v>
      </c>
      <c r="M23" s="902">
        <f>D23*J23+E23*K23</f>
        <v>0</v>
      </c>
      <c r="N23" s="895"/>
      <c r="O23" s="872"/>
      <c r="P23" s="889"/>
      <c r="Q23" s="904">
        <f t="shared" si="13"/>
        <v>0</v>
      </c>
      <c r="R23" s="910" t="e">
        <f t="shared" si="4"/>
        <v>#DIV/0!</v>
      </c>
      <c r="S23" s="914" t="e">
        <f t="shared" si="5"/>
        <v>#DIV/0!</v>
      </c>
      <c r="T23" s="1120"/>
      <c r="U23" s="881" t="e">
        <f t="shared" si="6"/>
        <v>#DIV/0!</v>
      </c>
      <c r="V23" s="892"/>
      <c r="W23" s="883" t="e">
        <f t="shared" si="7"/>
        <v>#DIV/0!</v>
      </c>
      <c r="X23" s="881" t="e">
        <f t="shared" si="8"/>
        <v>#DIV/0!</v>
      </c>
      <c r="Y23" s="916" t="e">
        <f t="shared" si="9"/>
        <v>#DIV/0!</v>
      </c>
      <c r="Z23" s="917" t="e">
        <f t="shared" si="10"/>
        <v>#DIV/0!</v>
      </c>
      <c r="AA23" s="893" t="e">
        <f t="shared" si="11"/>
        <v>#DIV/0!</v>
      </c>
      <c r="AB23" s="872"/>
      <c r="AC23" s="872"/>
    </row>
    <row r="24" spans="1:30" ht="15">
      <c r="A24" s="1121"/>
      <c r="B24" s="1122"/>
      <c r="C24" s="874" t="s">
        <v>1187</v>
      </c>
      <c r="D24" s="894"/>
      <c r="E24" s="894"/>
      <c r="F24" s="901" t="e">
        <f t="shared" si="0"/>
        <v>#DIV/0!</v>
      </c>
      <c r="G24" s="876" t="e">
        <f t="shared" si="1"/>
        <v>#DIV/0!</v>
      </c>
      <c r="H24" s="909" t="e">
        <f t="shared" si="2"/>
        <v>#DIV/0!</v>
      </c>
      <c r="I24" s="876" t="e">
        <f t="shared" si="3"/>
        <v>#DIV/0!</v>
      </c>
      <c r="J24" s="894"/>
      <c r="K24" s="894"/>
      <c r="L24" s="902">
        <f aca="true" t="shared" si="14" ref="L24:M27">L22+L23</f>
        <v>0</v>
      </c>
      <c r="M24" s="902">
        <f t="shared" si="14"/>
        <v>0</v>
      </c>
      <c r="N24" s="895"/>
      <c r="O24" s="917"/>
      <c r="P24" s="889"/>
      <c r="Q24" s="904">
        <f t="shared" si="13"/>
        <v>0</v>
      </c>
      <c r="R24" s="910" t="e">
        <f t="shared" si="4"/>
        <v>#DIV/0!</v>
      </c>
      <c r="S24" s="914" t="e">
        <f t="shared" si="5"/>
        <v>#DIV/0!</v>
      </c>
      <c r="T24" s="1120"/>
      <c r="U24" s="881" t="e">
        <f t="shared" si="6"/>
        <v>#DIV/0!</v>
      </c>
      <c r="V24" s="892"/>
      <c r="W24" s="883" t="e">
        <f t="shared" si="7"/>
        <v>#DIV/0!</v>
      </c>
      <c r="X24" s="881" t="e">
        <f t="shared" si="8"/>
        <v>#DIV/0!</v>
      </c>
      <c r="Y24" s="916" t="e">
        <f t="shared" si="9"/>
        <v>#DIV/0!</v>
      </c>
      <c r="Z24" s="917" t="e">
        <f t="shared" si="10"/>
        <v>#DIV/0!</v>
      </c>
      <c r="AA24" s="893">
        <f t="shared" si="11"/>
        <v>0</v>
      </c>
      <c r="AB24" s="872">
        <v>31</v>
      </c>
      <c r="AC24" s="872"/>
      <c r="AD24" s="107"/>
    </row>
    <row r="25" spans="1:30" ht="15">
      <c r="A25" s="854">
        <v>8</v>
      </c>
      <c r="B25" s="926" t="s">
        <v>1906</v>
      </c>
      <c r="C25" s="874" t="s">
        <v>1189</v>
      </c>
      <c r="D25" s="894"/>
      <c r="E25" s="894">
        <v>0</v>
      </c>
      <c r="F25" s="901" t="e">
        <f t="shared" si="0"/>
        <v>#DIV/0!</v>
      </c>
      <c r="G25" s="876" t="e">
        <f t="shared" si="1"/>
        <v>#DIV/0!</v>
      </c>
      <c r="H25" s="909" t="e">
        <f t="shared" si="2"/>
        <v>#DIV/0!</v>
      </c>
      <c r="I25" s="876" t="e">
        <f t="shared" si="3"/>
        <v>#DIV/0!</v>
      </c>
      <c r="J25" s="894"/>
      <c r="K25" s="894"/>
      <c r="L25" s="902">
        <f>J25+K25</f>
        <v>0</v>
      </c>
      <c r="M25" s="902">
        <f>D25*J25+E25*K25</f>
        <v>0</v>
      </c>
      <c r="N25" s="923"/>
      <c r="O25" s="894"/>
      <c r="P25" s="889"/>
      <c r="Q25" s="904">
        <f t="shared" si="13"/>
        <v>0</v>
      </c>
      <c r="R25" s="910" t="e">
        <f t="shared" si="4"/>
        <v>#DIV/0!</v>
      </c>
      <c r="S25" s="914" t="e">
        <f t="shared" si="5"/>
        <v>#DIV/0!</v>
      </c>
      <c r="T25" s="920"/>
      <c r="U25" s="881" t="e">
        <f t="shared" si="6"/>
        <v>#DIV/0!</v>
      </c>
      <c r="V25" s="892"/>
      <c r="W25" s="883" t="e">
        <f t="shared" si="7"/>
        <v>#DIV/0!</v>
      </c>
      <c r="X25" s="881" t="e">
        <f t="shared" si="8"/>
        <v>#DIV/0!</v>
      </c>
      <c r="Y25" s="916" t="e">
        <f t="shared" si="9"/>
        <v>#DIV/0!</v>
      </c>
      <c r="Z25" s="917" t="e">
        <f t="shared" si="10"/>
        <v>#DIV/0!</v>
      </c>
      <c r="AA25" s="893" t="e">
        <f t="shared" si="11"/>
        <v>#DIV/0!</v>
      </c>
      <c r="AB25" s="872">
        <v>0</v>
      </c>
      <c r="AC25" s="872"/>
      <c r="AD25" s="107"/>
    </row>
    <row r="26" spans="1:30" ht="15">
      <c r="A26" s="854"/>
      <c r="B26" s="1113"/>
      <c r="C26" s="874" t="s">
        <v>1188</v>
      </c>
      <c r="D26" s="876"/>
      <c r="E26" s="876">
        <v>0</v>
      </c>
      <c r="F26" s="901" t="e">
        <f t="shared" si="0"/>
        <v>#DIV/0!</v>
      </c>
      <c r="G26" s="876" t="e">
        <f t="shared" si="1"/>
        <v>#DIV/0!</v>
      </c>
      <c r="H26" s="909" t="e">
        <f t="shared" si="2"/>
        <v>#DIV/0!</v>
      </c>
      <c r="I26" s="876" t="e">
        <f t="shared" si="3"/>
        <v>#DIV/0!</v>
      </c>
      <c r="J26" s="876"/>
      <c r="K26" s="876"/>
      <c r="L26" s="902">
        <f>J26+K26</f>
        <v>0</v>
      </c>
      <c r="M26" s="902">
        <f>D26*J26+E26*K26</f>
        <v>0</v>
      </c>
      <c r="N26" s="887"/>
      <c r="O26" s="876"/>
      <c r="P26" s="889"/>
      <c r="Q26" s="904">
        <f t="shared" si="13"/>
        <v>0</v>
      </c>
      <c r="R26" s="910" t="e">
        <f t="shared" si="4"/>
        <v>#DIV/0!</v>
      </c>
      <c r="S26" s="914" t="e">
        <f t="shared" si="5"/>
        <v>#DIV/0!</v>
      </c>
      <c r="T26" s="929"/>
      <c r="U26" s="881" t="e">
        <f t="shared" si="6"/>
        <v>#DIV/0!</v>
      </c>
      <c r="V26" s="892"/>
      <c r="W26" s="883" t="e">
        <f t="shared" si="7"/>
        <v>#DIV/0!</v>
      </c>
      <c r="X26" s="881" t="e">
        <f t="shared" si="8"/>
        <v>#DIV/0!</v>
      </c>
      <c r="Y26" s="916" t="e">
        <f t="shared" si="9"/>
        <v>#DIV/0!</v>
      </c>
      <c r="Z26" s="917" t="e">
        <f t="shared" si="10"/>
        <v>#DIV/0!</v>
      </c>
      <c r="AA26" s="893" t="e">
        <f t="shared" si="11"/>
        <v>#DIV/0!</v>
      </c>
      <c r="AB26" s="872">
        <v>0</v>
      </c>
      <c r="AC26" s="873"/>
      <c r="AD26" s="107"/>
    </row>
    <row r="27" spans="1:30" ht="15">
      <c r="A27" s="854"/>
      <c r="B27" s="1115"/>
      <c r="C27" s="874" t="s">
        <v>1187</v>
      </c>
      <c r="D27" s="875"/>
      <c r="E27" s="875"/>
      <c r="F27" s="901" t="e">
        <f t="shared" si="0"/>
        <v>#DIV/0!</v>
      </c>
      <c r="G27" s="876" t="e">
        <f t="shared" si="1"/>
        <v>#DIV/0!</v>
      </c>
      <c r="H27" s="909" t="e">
        <f t="shared" si="2"/>
        <v>#DIV/0!</v>
      </c>
      <c r="I27" s="876" t="e">
        <f t="shared" si="3"/>
        <v>#DIV/0!</v>
      </c>
      <c r="J27" s="876"/>
      <c r="K27" s="876"/>
      <c r="L27" s="902">
        <f t="shared" si="14"/>
        <v>0</v>
      </c>
      <c r="M27" s="902">
        <f t="shared" si="14"/>
        <v>0</v>
      </c>
      <c r="N27" s="887"/>
      <c r="O27" s="887"/>
      <c r="P27" s="889"/>
      <c r="Q27" s="904">
        <f t="shared" si="13"/>
        <v>0</v>
      </c>
      <c r="R27" s="910" t="e">
        <f t="shared" si="4"/>
        <v>#DIV/0!</v>
      </c>
      <c r="S27" s="914" t="e">
        <f t="shared" si="5"/>
        <v>#DIV/0!</v>
      </c>
      <c r="T27" s="929"/>
      <c r="U27" s="881" t="e">
        <f t="shared" si="6"/>
        <v>#DIV/0!</v>
      </c>
      <c r="V27" s="892"/>
      <c r="W27" s="883" t="e">
        <f t="shared" si="7"/>
        <v>#DIV/0!</v>
      </c>
      <c r="X27" s="881" t="e">
        <f t="shared" si="8"/>
        <v>#DIV/0!</v>
      </c>
      <c r="Y27" s="916" t="e">
        <f t="shared" si="9"/>
        <v>#DIV/0!</v>
      </c>
      <c r="Z27" s="917" t="e">
        <f t="shared" si="10"/>
        <v>#DIV/0!</v>
      </c>
      <c r="AA27" s="893">
        <f t="shared" si="11"/>
        <v>0</v>
      </c>
      <c r="AB27" s="872">
        <v>30</v>
      </c>
      <c r="AC27" s="873"/>
      <c r="AD27" s="107"/>
    </row>
    <row r="28" spans="1:30" ht="15">
      <c r="A28" s="1121">
        <v>9</v>
      </c>
      <c r="B28" s="1122" t="s">
        <v>1907</v>
      </c>
      <c r="C28" s="874" t="s">
        <v>1189</v>
      </c>
      <c r="D28" s="894"/>
      <c r="E28" s="876">
        <v>0</v>
      </c>
      <c r="F28" s="901" t="e">
        <f t="shared" si="0"/>
        <v>#DIV/0!</v>
      </c>
      <c r="G28" s="876" t="e">
        <f t="shared" si="1"/>
        <v>#DIV/0!</v>
      </c>
      <c r="H28" s="909" t="e">
        <f t="shared" si="2"/>
        <v>#DIV/0!</v>
      </c>
      <c r="I28" s="876" t="e">
        <f t="shared" si="3"/>
        <v>#DIV/0!</v>
      </c>
      <c r="J28" s="876"/>
      <c r="K28" s="875"/>
      <c r="L28" s="876">
        <f>J28+K28</f>
        <v>0</v>
      </c>
      <c r="M28" s="902">
        <f aca="true" t="shared" si="15" ref="M28:M38">D28*J28+E28*K28</f>
        <v>0</v>
      </c>
      <c r="N28" s="877"/>
      <c r="O28" s="873"/>
      <c r="P28" s="889"/>
      <c r="Q28" s="904">
        <f t="shared" si="13"/>
        <v>0</v>
      </c>
      <c r="R28" s="910" t="e">
        <f t="shared" si="4"/>
        <v>#DIV/0!</v>
      </c>
      <c r="S28" s="914" t="e">
        <f t="shared" si="5"/>
        <v>#DIV/0!</v>
      </c>
      <c r="T28" s="1123"/>
      <c r="U28" s="881" t="e">
        <f t="shared" si="6"/>
        <v>#DIV/0!</v>
      </c>
      <c r="V28" s="892"/>
      <c r="W28" s="883" t="e">
        <f t="shared" si="7"/>
        <v>#DIV/0!</v>
      </c>
      <c r="X28" s="881" t="e">
        <f t="shared" si="8"/>
        <v>#DIV/0!</v>
      </c>
      <c r="Y28" s="916" t="e">
        <f t="shared" si="9"/>
        <v>#DIV/0!</v>
      </c>
      <c r="Z28" s="917" t="e">
        <f t="shared" si="10"/>
        <v>#DIV/0!</v>
      </c>
      <c r="AA28" s="893" t="e">
        <f t="shared" si="11"/>
        <v>#DIV/0!</v>
      </c>
      <c r="AB28" s="872">
        <v>0</v>
      </c>
      <c r="AC28" s="873"/>
      <c r="AD28" s="107"/>
    </row>
    <row r="29" spans="1:30" ht="15">
      <c r="A29" s="1121"/>
      <c r="B29" s="1122"/>
      <c r="C29" s="874" t="s">
        <v>1188</v>
      </c>
      <c r="D29" s="894"/>
      <c r="E29" s="875">
        <v>0</v>
      </c>
      <c r="F29" s="901" t="e">
        <f t="shared" si="0"/>
        <v>#DIV/0!</v>
      </c>
      <c r="G29" s="876" t="e">
        <f t="shared" si="1"/>
        <v>#DIV/0!</v>
      </c>
      <c r="H29" s="909" t="e">
        <f t="shared" si="2"/>
        <v>#DIV/0!</v>
      </c>
      <c r="I29" s="876" t="e">
        <f t="shared" si="3"/>
        <v>#DIV/0!</v>
      </c>
      <c r="J29" s="876"/>
      <c r="K29" s="875"/>
      <c r="L29" s="876">
        <f aca="true" t="shared" si="16" ref="L29:L38">J29+K29</f>
        <v>0</v>
      </c>
      <c r="M29" s="902">
        <f t="shared" si="15"/>
        <v>0</v>
      </c>
      <c r="N29" s="877"/>
      <c r="O29" s="873"/>
      <c r="P29" s="889"/>
      <c r="Q29" s="904">
        <f t="shared" si="13"/>
        <v>0</v>
      </c>
      <c r="R29" s="910" t="e">
        <f t="shared" si="4"/>
        <v>#DIV/0!</v>
      </c>
      <c r="S29" s="914" t="e">
        <f t="shared" si="5"/>
        <v>#DIV/0!</v>
      </c>
      <c r="T29" s="1123"/>
      <c r="U29" s="881" t="e">
        <f t="shared" si="6"/>
        <v>#DIV/0!</v>
      </c>
      <c r="V29" s="892"/>
      <c r="W29" s="883" t="e">
        <f t="shared" si="7"/>
        <v>#DIV/0!</v>
      </c>
      <c r="X29" s="881" t="e">
        <f t="shared" si="8"/>
        <v>#DIV/0!</v>
      </c>
      <c r="Y29" s="916" t="e">
        <f t="shared" si="9"/>
        <v>#DIV/0!</v>
      </c>
      <c r="Z29" s="917" t="e">
        <f t="shared" si="10"/>
        <v>#DIV/0!</v>
      </c>
      <c r="AA29" s="893" t="e">
        <f t="shared" si="11"/>
        <v>#DIV/0!</v>
      </c>
      <c r="AB29" s="872">
        <v>0</v>
      </c>
      <c r="AC29" s="873"/>
      <c r="AD29" s="107"/>
    </row>
    <row r="30" spans="1:30" ht="15">
      <c r="A30" s="854"/>
      <c r="B30" s="926"/>
      <c r="C30" s="874" t="s">
        <v>1187</v>
      </c>
      <c r="D30" s="875"/>
      <c r="E30" s="875"/>
      <c r="F30" s="901" t="e">
        <f t="shared" si="0"/>
        <v>#DIV/0!</v>
      </c>
      <c r="G30" s="876" t="e">
        <f t="shared" si="1"/>
        <v>#DIV/0!</v>
      </c>
      <c r="H30" s="909" t="e">
        <f t="shared" si="2"/>
        <v>#DIV/0!</v>
      </c>
      <c r="I30" s="876" t="e">
        <f t="shared" si="3"/>
        <v>#DIV/0!</v>
      </c>
      <c r="J30" s="876"/>
      <c r="K30" s="875"/>
      <c r="L30" s="887">
        <f>L28+L29</f>
        <v>0</v>
      </c>
      <c r="M30" s="876">
        <f>M28+M29</f>
        <v>0</v>
      </c>
      <c r="N30" s="887"/>
      <c r="O30" s="887"/>
      <c r="P30" s="889"/>
      <c r="Q30" s="904">
        <f t="shared" si="13"/>
        <v>0</v>
      </c>
      <c r="R30" s="910" t="e">
        <f t="shared" si="4"/>
        <v>#DIV/0!</v>
      </c>
      <c r="S30" s="914" t="e">
        <f t="shared" si="5"/>
        <v>#DIV/0!</v>
      </c>
      <c r="T30" s="929"/>
      <c r="U30" s="881" t="e">
        <f t="shared" si="6"/>
        <v>#DIV/0!</v>
      </c>
      <c r="V30" s="892"/>
      <c r="W30" s="883" t="e">
        <f t="shared" si="7"/>
        <v>#DIV/0!</v>
      </c>
      <c r="X30" s="881" t="e">
        <f t="shared" si="8"/>
        <v>#DIV/0!</v>
      </c>
      <c r="Y30" s="916" t="e">
        <f t="shared" si="9"/>
        <v>#DIV/0!</v>
      </c>
      <c r="Z30" s="917" t="e">
        <f t="shared" si="10"/>
        <v>#DIV/0!</v>
      </c>
      <c r="AA30" s="893">
        <f t="shared" si="11"/>
        <v>0</v>
      </c>
      <c r="AB30" s="872">
        <v>31</v>
      </c>
      <c r="AC30" s="873"/>
      <c r="AD30" s="107"/>
    </row>
    <row r="31" spans="1:30" ht="15">
      <c r="A31" s="1121">
        <v>10</v>
      </c>
      <c r="B31" s="1122" t="s">
        <v>1908</v>
      </c>
      <c r="C31" s="874" t="s">
        <v>1189</v>
      </c>
      <c r="D31" s="875"/>
      <c r="E31" s="875">
        <v>0</v>
      </c>
      <c r="F31" s="901" t="e">
        <f t="shared" si="0"/>
        <v>#DIV/0!</v>
      </c>
      <c r="G31" s="876" t="e">
        <f t="shared" si="1"/>
        <v>#DIV/0!</v>
      </c>
      <c r="H31" s="909" t="e">
        <f t="shared" si="2"/>
        <v>#DIV/0!</v>
      </c>
      <c r="I31" s="876" t="e">
        <f t="shared" si="3"/>
        <v>#DIV/0!</v>
      </c>
      <c r="J31" s="875"/>
      <c r="K31" s="875"/>
      <c r="L31" s="876">
        <f t="shared" si="16"/>
        <v>0</v>
      </c>
      <c r="M31" s="902">
        <f t="shared" si="15"/>
        <v>0</v>
      </c>
      <c r="N31" s="877"/>
      <c r="O31" s="873"/>
      <c r="P31" s="889"/>
      <c r="Q31" s="904">
        <f t="shared" si="13"/>
        <v>0</v>
      </c>
      <c r="R31" s="910" t="e">
        <f t="shared" si="4"/>
        <v>#DIV/0!</v>
      </c>
      <c r="S31" s="914" t="e">
        <f t="shared" si="5"/>
        <v>#DIV/0!</v>
      </c>
      <c r="T31" s="1123"/>
      <c r="U31" s="881" t="e">
        <f t="shared" si="6"/>
        <v>#DIV/0!</v>
      </c>
      <c r="V31" s="892"/>
      <c r="W31" s="883" t="e">
        <f t="shared" si="7"/>
        <v>#DIV/0!</v>
      </c>
      <c r="X31" s="881" t="e">
        <f t="shared" si="8"/>
        <v>#DIV/0!</v>
      </c>
      <c r="Y31" s="916"/>
      <c r="Z31" s="917">
        <f t="shared" si="10"/>
        <v>0</v>
      </c>
      <c r="AA31" s="893" t="e">
        <f t="shared" si="11"/>
        <v>#DIV/0!</v>
      </c>
      <c r="AB31" s="872">
        <v>0</v>
      </c>
      <c r="AC31" s="873"/>
      <c r="AD31" s="107"/>
    </row>
    <row r="32" spans="1:30" ht="15">
      <c r="A32" s="1121"/>
      <c r="B32" s="1122"/>
      <c r="C32" s="874" t="s">
        <v>1188</v>
      </c>
      <c r="D32" s="931"/>
      <c r="E32" s="931">
        <v>0</v>
      </c>
      <c r="F32" s="901" t="e">
        <f t="shared" si="0"/>
        <v>#DIV/0!</v>
      </c>
      <c r="G32" s="876" t="e">
        <f t="shared" si="1"/>
        <v>#DIV/0!</v>
      </c>
      <c r="H32" s="909" t="e">
        <f t="shared" si="2"/>
        <v>#DIV/0!</v>
      </c>
      <c r="I32" s="876" t="e">
        <f t="shared" si="3"/>
        <v>#DIV/0!</v>
      </c>
      <c r="J32" s="875"/>
      <c r="K32" s="875"/>
      <c r="L32" s="876">
        <f t="shared" si="16"/>
        <v>0</v>
      </c>
      <c r="M32" s="902">
        <f t="shared" si="15"/>
        <v>0</v>
      </c>
      <c r="N32" s="877"/>
      <c r="O32" s="873"/>
      <c r="P32" s="889"/>
      <c r="Q32" s="904">
        <f t="shared" si="13"/>
        <v>0</v>
      </c>
      <c r="R32" s="910" t="e">
        <f t="shared" si="4"/>
        <v>#DIV/0!</v>
      </c>
      <c r="S32" s="914" t="e">
        <f t="shared" si="5"/>
        <v>#DIV/0!</v>
      </c>
      <c r="T32" s="1123"/>
      <c r="U32" s="881" t="e">
        <f t="shared" si="6"/>
        <v>#DIV/0!</v>
      </c>
      <c r="V32" s="892"/>
      <c r="W32" s="883" t="e">
        <f t="shared" si="7"/>
        <v>#DIV/0!</v>
      </c>
      <c r="X32" s="881" t="e">
        <f t="shared" si="8"/>
        <v>#DIV/0!</v>
      </c>
      <c r="Y32" s="916" t="e">
        <f t="shared" si="9"/>
        <v>#DIV/0!</v>
      </c>
      <c r="Z32" s="917" t="e">
        <f t="shared" si="10"/>
        <v>#DIV/0!</v>
      </c>
      <c r="AA32" s="893" t="e">
        <f t="shared" si="11"/>
        <v>#DIV/0!</v>
      </c>
      <c r="AB32" s="872">
        <v>0</v>
      </c>
      <c r="AC32" s="873"/>
      <c r="AD32" s="107"/>
    </row>
    <row r="33" spans="1:30" ht="15">
      <c r="A33" s="854"/>
      <c r="B33" s="926"/>
      <c r="C33" s="874" t="s">
        <v>1187</v>
      </c>
      <c r="D33" s="931"/>
      <c r="E33" s="931"/>
      <c r="F33" s="901"/>
      <c r="G33" s="876" t="e">
        <f t="shared" si="1"/>
        <v>#DIV/0!</v>
      </c>
      <c r="H33" s="909" t="e">
        <f t="shared" si="2"/>
        <v>#DIV/0!</v>
      </c>
      <c r="I33" s="876" t="e">
        <f t="shared" si="3"/>
        <v>#DIV/0!</v>
      </c>
      <c r="J33" s="875"/>
      <c r="K33" s="875"/>
      <c r="L33" s="887">
        <f>L31+L32</f>
        <v>0</v>
      </c>
      <c r="M33" s="876">
        <f>M31+M32</f>
        <v>0</v>
      </c>
      <c r="N33" s="887"/>
      <c r="O33" s="887"/>
      <c r="P33" s="889"/>
      <c r="Q33" s="904">
        <f t="shared" si="13"/>
        <v>0</v>
      </c>
      <c r="R33" s="910" t="e">
        <f t="shared" si="4"/>
        <v>#DIV/0!</v>
      </c>
      <c r="S33" s="914" t="e">
        <f t="shared" si="5"/>
        <v>#DIV/0!</v>
      </c>
      <c r="T33" s="929"/>
      <c r="U33" s="881" t="e">
        <f t="shared" si="6"/>
        <v>#DIV/0!</v>
      </c>
      <c r="V33" s="892"/>
      <c r="W33" s="883" t="e">
        <f t="shared" si="7"/>
        <v>#DIV/0!</v>
      </c>
      <c r="X33" s="881" t="e">
        <f t="shared" si="8"/>
        <v>#DIV/0!</v>
      </c>
      <c r="Y33" s="916" t="e">
        <f t="shared" si="9"/>
        <v>#DIV/0!</v>
      </c>
      <c r="Z33" s="917" t="e">
        <f t="shared" si="10"/>
        <v>#DIV/0!</v>
      </c>
      <c r="AA33" s="893">
        <f t="shared" si="11"/>
        <v>0</v>
      </c>
      <c r="AB33" s="872">
        <v>31</v>
      </c>
      <c r="AC33" s="873"/>
      <c r="AD33" s="107"/>
    </row>
    <row r="34" spans="1:30" ht="15">
      <c r="A34" s="1121">
        <v>11</v>
      </c>
      <c r="B34" s="1122" t="s">
        <v>1909</v>
      </c>
      <c r="C34" s="874" t="s">
        <v>1189</v>
      </c>
      <c r="D34" s="875"/>
      <c r="E34" s="875">
        <v>0</v>
      </c>
      <c r="F34" s="901"/>
      <c r="G34" s="876" t="e">
        <f t="shared" si="1"/>
        <v>#DIV/0!</v>
      </c>
      <c r="H34" s="909" t="e">
        <f t="shared" si="2"/>
        <v>#DIV/0!</v>
      </c>
      <c r="I34" s="876" t="e">
        <f t="shared" si="3"/>
        <v>#DIV/0!</v>
      </c>
      <c r="J34" s="875"/>
      <c r="K34" s="875"/>
      <c r="L34" s="876">
        <f t="shared" si="16"/>
        <v>0</v>
      </c>
      <c r="M34" s="902">
        <f t="shared" si="15"/>
        <v>0</v>
      </c>
      <c r="N34" s="877"/>
      <c r="O34" s="873"/>
      <c r="P34" s="889"/>
      <c r="Q34" s="904">
        <f t="shared" si="13"/>
        <v>0</v>
      </c>
      <c r="R34" s="910" t="e">
        <f t="shared" si="4"/>
        <v>#DIV/0!</v>
      </c>
      <c r="S34" s="914" t="e">
        <f t="shared" si="5"/>
        <v>#DIV/0!</v>
      </c>
      <c r="T34" s="1123"/>
      <c r="U34" s="881" t="e">
        <f t="shared" si="6"/>
        <v>#DIV/0!</v>
      </c>
      <c r="V34" s="892"/>
      <c r="W34" s="883" t="e">
        <f t="shared" si="7"/>
        <v>#DIV/0!</v>
      </c>
      <c r="X34" s="881" t="e">
        <f t="shared" si="8"/>
        <v>#DIV/0!</v>
      </c>
      <c r="Y34" s="916" t="e">
        <f t="shared" si="9"/>
        <v>#DIV/0!</v>
      </c>
      <c r="Z34" s="917" t="e">
        <f t="shared" si="10"/>
        <v>#DIV/0!</v>
      </c>
      <c r="AA34" s="893" t="e">
        <f t="shared" si="11"/>
        <v>#DIV/0!</v>
      </c>
      <c r="AB34" s="872">
        <v>0</v>
      </c>
      <c r="AC34" s="873"/>
      <c r="AD34" s="107"/>
    </row>
    <row r="35" spans="1:30" ht="15">
      <c r="A35" s="1121"/>
      <c r="B35" s="1122"/>
      <c r="C35" s="874" t="s">
        <v>1188</v>
      </c>
      <c r="D35" s="875"/>
      <c r="E35" s="875">
        <v>0</v>
      </c>
      <c r="F35" s="901"/>
      <c r="G35" s="876" t="e">
        <f t="shared" si="1"/>
        <v>#DIV/0!</v>
      </c>
      <c r="H35" s="909" t="e">
        <f t="shared" si="2"/>
        <v>#DIV/0!</v>
      </c>
      <c r="I35" s="876" t="e">
        <f t="shared" si="3"/>
        <v>#DIV/0!</v>
      </c>
      <c r="J35" s="875"/>
      <c r="K35" s="875"/>
      <c r="L35" s="876">
        <f t="shared" si="16"/>
        <v>0</v>
      </c>
      <c r="M35" s="902">
        <f t="shared" si="15"/>
        <v>0</v>
      </c>
      <c r="N35" s="877"/>
      <c r="O35" s="873"/>
      <c r="P35" s="889"/>
      <c r="Q35" s="904">
        <f t="shared" si="13"/>
        <v>0</v>
      </c>
      <c r="R35" s="910" t="e">
        <f t="shared" si="4"/>
        <v>#DIV/0!</v>
      </c>
      <c r="S35" s="914" t="e">
        <f t="shared" si="5"/>
        <v>#DIV/0!</v>
      </c>
      <c r="T35" s="1123"/>
      <c r="U35" s="881" t="e">
        <f t="shared" si="6"/>
        <v>#DIV/0!</v>
      </c>
      <c r="V35" s="892"/>
      <c r="W35" s="883" t="e">
        <f t="shared" si="7"/>
        <v>#DIV/0!</v>
      </c>
      <c r="X35" s="881" t="e">
        <f t="shared" si="8"/>
        <v>#DIV/0!</v>
      </c>
      <c r="Y35" s="916" t="e">
        <f t="shared" si="9"/>
        <v>#DIV/0!</v>
      </c>
      <c r="Z35" s="917" t="e">
        <f t="shared" si="10"/>
        <v>#DIV/0!</v>
      </c>
      <c r="AA35" s="893" t="e">
        <f t="shared" si="11"/>
        <v>#DIV/0!</v>
      </c>
      <c r="AB35" s="872">
        <v>0</v>
      </c>
      <c r="AC35" s="873"/>
      <c r="AD35" s="107"/>
    </row>
    <row r="36" spans="1:30" ht="15">
      <c r="A36" s="854"/>
      <c r="B36" s="926"/>
      <c r="C36" s="874" t="s">
        <v>1187</v>
      </c>
      <c r="D36" s="875"/>
      <c r="E36" s="875"/>
      <c r="F36" s="901"/>
      <c r="G36" s="876" t="e">
        <f t="shared" si="1"/>
        <v>#DIV/0!</v>
      </c>
      <c r="H36" s="909" t="e">
        <f t="shared" si="2"/>
        <v>#DIV/0!</v>
      </c>
      <c r="I36" s="876" t="e">
        <f t="shared" si="3"/>
        <v>#DIV/0!</v>
      </c>
      <c r="J36" s="875"/>
      <c r="K36" s="875"/>
      <c r="L36" s="887">
        <f>L34+L35</f>
        <v>0</v>
      </c>
      <c r="M36" s="876">
        <f>M34+M35</f>
        <v>0</v>
      </c>
      <c r="N36" s="877"/>
      <c r="O36" s="873"/>
      <c r="P36" s="889"/>
      <c r="Q36" s="904">
        <f t="shared" si="13"/>
        <v>0</v>
      </c>
      <c r="R36" s="910" t="e">
        <f t="shared" si="4"/>
        <v>#DIV/0!</v>
      </c>
      <c r="S36" s="914" t="e">
        <f t="shared" si="5"/>
        <v>#DIV/0!</v>
      </c>
      <c r="T36" s="933"/>
      <c r="U36" s="881" t="e">
        <f t="shared" si="6"/>
        <v>#DIV/0!</v>
      </c>
      <c r="V36" s="898"/>
      <c r="W36" s="883" t="e">
        <f t="shared" si="7"/>
        <v>#DIV/0!</v>
      </c>
      <c r="X36" s="881" t="e">
        <f t="shared" si="8"/>
        <v>#DIV/0!</v>
      </c>
      <c r="Y36" s="916" t="e">
        <f t="shared" si="9"/>
        <v>#DIV/0!</v>
      </c>
      <c r="Z36" s="917" t="e">
        <f t="shared" si="10"/>
        <v>#DIV/0!</v>
      </c>
      <c r="AA36" s="893">
        <f t="shared" si="11"/>
        <v>0</v>
      </c>
      <c r="AB36" s="872">
        <v>28</v>
      </c>
      <c r="AC36" s="873"/>
      <c r="AD36" s="107"/>
    </row>
    <row r="37" spans="1:30" ht="15">
      <c r="A37" s="1121">
        <v>12</v>
      </c>
      <c r="B37" s="1122" t="s">
        <v>1910</v>
      </c>
      <c r="C37" s="874" t="s">
        <v>1189</v>
      </c>
      <c r="D37" s="875"/>
      <c r="E37" s="875"/>
      <c r="F37" s="901"/>
      <c r="G37" s="876" t="e">
        <f t="shared" si="1"/>
        <v>#DIV/0!</v>
      </c>
      <c r="H37" s="909" t="e">
        <f t="shared" si="2"/>
        <v>#DIV/0!</v>
      </c>
      <c r="I37" s="876" t="e">
        <f t="shared" si="3"/>
        <v>#DIV/0!</v>
      </c>
      <c r="J37" s="875"/>
      <c r="K37" s="875"/>
      <c r="L37" s="876">
        <f t="shared" si="16"/>
        <v>0</v>
      </c>
      <c r="M37" s="902">
        <f t="shared" si="15"/>
        <v>0</v>
      </c>
      <c r="N37" s="877"/>
      <c r="O37" s="873"/>
      <c r="P37" s="889"/>
      <c r="Q37" s="904">
        <f t="shared" si="13"/>
        <v>0</v>
      </c>
      <c r="R37" s="910" t="e">
        <f t="shared" si="4"/>
        <v>#DIV/0!</v>
      </c>
      <c r="S37" s="914" t="e">
        <f t="shared" si="5"/>
        <v>#DIV/0!</v>
      </c>
      <c r="T37" s="852"/>
      <c r="U37" s="881" t="e">
        <f t="shared" si="6"/>
        <v>#DIV/0!</v>
      </c>
      <c r="V37" s="892"/>
      <c r="W37" s="883" t="e">
        <f t="shared" si="7"/>
        <v>#DIV/0!</v>
      </c>
      <c r="X37" s="881" t="e">
        <f t="shared" si="8"/>
        <v>#DIV/0!</v>
      </c>
      <c r="Y37" s="916" t="e">
        <f t="shared" si="9"/>
        <v>#DIV/0!</v>
      </c>
      <c r="Z37" s="917" t="e">
        <f t="shared" si="10"/>
        <v>#DIV/0!</v>
      </c>
      <c r="AA37" s="893" t="e">
        <f t="shared" si="11"/>
        <v>#DIV/0!</v>
      </c>
      <c r="AB37" s="872">
        <v>0</v>
      </c>
      <c r="AC37" s="873"/>
      <c r="AD37" s="107"/>
    </row>
    <row r="38" spans="1:30" ht="15">
      <c r="A38" s="1110"/>
      <c r="B38" s="1113"/>
      <c r="C38" s="934" t="s">
        <v>1188</v>
      </c>
      <c r="D38" s="935"/>
      <c r="E38" s="935"/>
      <c r="F38" s="901"/>
      <c r="G38" s="876" t="e">
        <f t="shared" si="1"/>
        <v>#DIV/0!</v>
      </c>
      <c r="H38" s="909" t="e">
        <f t="shared" si="2"/>
        <v>#DIV/0!</v>
      </c>
      <c r="I38" s="876" t="e">
        <f t="shared" si="3"/>
        <v>#DIV/0!</v>
      </c>
      <c r="J38" s="935"/>
      <c r="K38" s="935"/>
      <c r="L38" s="876">
        <f t="shared" si="16"/>
        <v>0</v>
      </c>
      <c r="M38" s="902">
        <f t="shared" si="15"/>
        <v>0</v>
      </c>
      <c r="N38" s="936"/>
      <c r="O38" s="873"/>
      <c r="P38" s="889"/>
      <c r="Q38" s="904">
        <f t="shared" si="13"/>
        <v>0</v>
      </c>
      <c r="R38" s="910" t="e">
        <f t="shared" si="4"/>
        <v>#DIV/0!</v>
      </c>
      <c r="S38" s="914" t="e">
        <f t="shared" si="5"/>
        <v>#DIV/0!</v>
      </c>
      <c r="T38" s="852"/>
      <c r="U38" s="881" t="e">
        <f t="shared" si="6"/>
        <v>#DIV/0!</v>
      </c>
      <c r="V38" s="892"/>
      <c r="W38" s="883" t="e">
        <f t="shared" si="7"/>
        <v>#DIV/0!</v>
      </c>
      <c r="X38" s="881" t="e">
        <f t="shared" si="8"/>
        <v>#DIV/0!</v>
      </c>
      <c r="Y38" s="916" t="e">
        <f t="shared" si="9"/>
        <v>#DIV/0!</v>
      </c>
      <c r="Z38" s="917" t="e">
        <f t="shared" si="10"/>
        <v>#DIV/0!</v>
      </c>
      <c r="AA38" s="893" t="e">
        <f t="shared" si="11"/>
        <v>#DIV/0!</v>
      </c>
      <c r="AB38" s="872">
        <v>0</v>
      </c>
      <c r="AC38" s="873"/>
      <c r="AD38" s="107"/>
    </row>
    <row r="39" spans="1:30" ht="15">
      <c r="A39" s="854"/>
      <c r="B39" s="926"/>
      <c r="C39" s="874" t="s">
        <v>1187</v>
      </c>
      <c r="D39" s="875"/>
      <c r="E39" s="875"/>
      <c r="F39" s="901"/>
      <c r="G39" s="876" t="e">
        <f t="shared" si="1"/>
        <v>#DIV/0!</v>
      </c>
      <c r="H39" s="909" t="e">
        <f t="shared" si="2"/>
        <v>#DIV/0!</v>
      </c>
      <c r="I39" s="876" t="e">
        <f t="shared" si="3"/>
        <v>#DIV/0!</v>
      </c>
      <c r="J39" s="875"/>
      <c r="K39" s="875"/>
      <c r="L39" s="887">
        <f>L37+L38</f>
        <v>0</v>
      </c>
      <c r="M39" s="876">
        <f>M37+M38</f>
        <v>0</v>
      </c>
      <c r="N39" s="877"/>
      <c r="O39" s="873"/>
      <c r="P39" s="889"/>
      <c r="Q39" s="904">
        <f t="shared" si="13"/>
        <v>0</v>
      </c>
      <c r="R39" s="910" t="e">
        <f t="shared" si="4"/>
        <v>#DIV/0!</v>
      </c>
      <c r="S39" s="914" t="e">
        <f t="shared" si="5"/>
        <v>#DIV/0!</v>
      </c>
      <c r="T39" s="870"/>
      <c r="U39" s="881" t="e">
        <f t="shared" si="6"/>
        <v>#DIV/0!</v>
      </c>
      <c r="V39" s="898"/>
      <c r="W39" s="883" t="e">
        <f t="shared" si="7"/>
        <v>#DIV/0!</v>
      </c>
      <c r="X39" s="881" t="e">
        <f t="shared" si="8"/>
        <v>#DIV/0!</v>
      </c>
      <c r="Y39" s="916" t="e">
        <f t="shared" si="9"/>
        <v>#DIV/0!</v>
      </c>
      <c r="Z39" s="917" t="e">
        <f t="shared" si="10"/>
        <v>#DIV/0!</v>
      </c>
      <c r="AA39" s="893">
        <f t="shared" si="11"/>
        <v>0</v>
      </c>
      <c r="AB39" s="873">
        <v>31</v>
      </c>
      <c r="AC39" s="873"/>
      <c r="AD39" s="107"/>
    </row>
    <row r="40" spans="1:30" ht="15">
      <c r="A40" s="937"/>
      <c r="B40" s="938"/>
      <c r="C40" s="939"/>
      <c r="D40" s="940"/>
      <c r="E40" s="940"/>
      <c r="F40" s="940"/>
      <c r="G40" s="940"/>
      <c r="H40" s="941"/>
      <c r="I40" s="940"/>
      <c r="J40" s="940"/>
      <c r="K40" s="940"/>
      <c r="L40" s="940"/>
      <c r="M40" s="942"/>
      <c r="N40" s="942"/>
      <c r="O40" s="933"/>
      <c r="P40" s="933"/>
      <c r="Q40" s="943"/>
      <c r="R40" s="852"/>
      <c r="S40" s="852"/>
      <c r="T40" s="852"/>
      <c r="U40" s="852"/>
      <c r="V40" s="852"/>
      <c r="W40" s="852"/>
      <c r="X40" s="996"/>
      <c r="Y40" s="945"/>
      <c r="Z40" s="946" t="e">
        <f>SUM(Z6,Z9,Z12,Z15,Z18,Z21,Z24,Z27,Z30,Z33,Z36,Z39)</f>
        <v>#DIV/0!</v>
      </c>
      <c r="AA40" s="945"/>
      <c r="AB40" s="945">
        <f>SUM(AB5:AB39)</f>
        <v>365</v>
      </c>
      <c r="AC40" s="945">
        <f>SUM(AC6:AC39)</f>
        <v>484403124</v>
      </c>
      <c r="AD40" s="107">
        <f>SUM(AD4:AD39)</f>
        <v>173200002</v>
      </c>
    </row>
    <row r="41" spans="1:30" ht="15">
      <c r="A41" s="937"/>
      <c r="B41" s="938"/>
      <c r="C41" s="852"/>
      <c r="D41" s="852"/>
      <c r="E41" s="852"/>
      <c r="F41" s="852"/>
      <c r="G41" s="852" t="e">
        <f>SUM(G6,G9,G12,G15,G18,G21,G24,G27,G30,G33,G36,G39)</f>
        <v>#DIV/0!</v>
      </c>
      <c r="H41" s="852"/>
      <c r="I41" s="852" t="e">
        <f>SUM(I6,I9,I12,I15,I18,I21,I24,I27,I30,I33,I36,I39)</f>
        <v>#DIV/0!</v>
      </c>
      <c r="J41" s="852"/>
      <c r="K41" s="852"/>
      <c r="L41" s="852"/>
      <c r="M41" s="852"/>
      <c r="N41" s="852"/>
      <c r="O41" s="947">
        <f>SUM(O6,O9,O12,O15,O18,O21,O24,O27,O30,O33,O36,O39)</f>
        <v>126653790</v>
      </c>
      <c r="P41" s="947">
        <f>SUM(P6,P9,P12,P15,P18,P21,P24,P27,P30,P33,P36,P39)</f>
        <v>6766790</v>
      </c>
      <c r="Q41" s="947">
        <f>SUM(Q6,Q9,Q12,Q15,Q18,Q21,Q24,Q27,Q30,Q33,Q36,Q39)</f>
        <v>119902200</v>
      </c>
      <c r="R41" s="948">
        <f>(P41/O41)*100</f>
        <v>5.342745763865416</v>
      </c>
      <c r="S41" s="852"/>
      <c r="T41" s="852"/>
      <c r="U41" s="852"/>
      <c r="V41" s="852">
        <f>SUM(V6,V9,V12,V15,V18,V21,V24,V27,V30,V33,V36,V39)</f>
        <v>236883652</v>
      </c>
      <c r="W41" s="852"/>
      <c r="X41" s="852"/>
      <c r="Y41" s="945" t="e">
        <f>SUM(Y6,Y9,Y12,Y15,Y18,Y21,Y24,Y27,Y30,Y33,Y36,Y39)</f>
        <v>#DIV/0!</v>
      </c>
      <c r="Z41" s="949" t="e">
        <f>Z40/10000000</f>
        <v>#DIV/0!</v>
      </c>
      <c r="AA41" s="945"/>
      <c r="AB41" s="945"/>
      <c r="AC41" s="946">
        <f>AC40/10000000</f>
        <v>48.4403124</v>
      </c>
      <c r="AD41" s="690">
        <f>AD40/10000000</f>
        <v>17.3200002</v>
      </c>
    </row>
    <row r="42" spans="1:29" ht="15">
      <c r="A42" s="852"/>
      <c r="B42" s="852"/>
      <c r="C42" s="950">
        <f>M21/L21</f>
        <v>10888.76924717457</v>
      </c>
      <c r="D42" s="852"/>
      <c r="E42" s="852"/>
      <c r="F42" s="852"/>
      <c r="G42" s="948" t="e">
        <f>G41/10000000</f>
        <v>#DIV/0!</v>
      </c>
      <c r="H42" s="852"/>
      <c r="I42" s="948" t="e">
        <f>I41/10000000</f>
        <v>#DIV/0!</v>
      </c>
      <c r="J42" s="852"/>
      <c r="K42" s="852"/>
      <c r="L42" s="947">
        <f>SUM(L6,L9,L12,L15,L18,L21,L24,L27,L30,L33,L36,L39)</f>
        <v>30721492</v>
      </c>
      <c r="M42" s="947">
        <f>SUM(M6,M9,M12,M15,M18,M21,M24,M27,M30,M33,M36,M39)</f>
        <v>333641030528.05707</v>
      </c>
      <c r="N42" s="852"/>
      <c r="O42" s="946">
        <f>O41/1000000</f>
        <v>126.65379</v>
      </c>
      <c r="P42" s="946">
        <f>P41/1000000</f>
        <v>6.76679</v>
      </c>
      <c r="Q42" s="946">
        <f>Q41/1000000</f>
        <v>119.9022</v>
      </c>
      <c r="R42" s="852"/>
      <c r="S42" s="852"/>
      <c r="T42" s="852"/>
      <c r="U42" s="852"/>
      <c r="V42" s="946">
        <f>V41/10000000</f>
        <v>23.6883652</v>
      </c>
      <c r="W42" s="852"/>
      <c r="X42" s="852"/>
      <c r="Y42" s="946" t="e">
        <f>Y41/10000000</f>
        <v>#DIV/0!</v>
      </c>
      <c r="Z42" s="945"/>
      <c r="AA42" s="945"/>
      <c r="AB42" s="945"/>
      <c r="AC42" s="945"/>
    </row>
    <row r="43" spans="1:29" ht="15">
      <c r="A43" s="852"/>
      <c r="B43" s="852"/>
      <c r="C43" s="852"/>
      <c r="D43" s="852"/>
      <c r="E43" s="852"/>
      <c r="F43" s="852"/>
      <c r="G43" s="852"/>
      <c r="H43" s="852"/>
      <c r="I43" s="852"/>
      <c r="J43" s="852"/>
      <c r="K43" s="852"/>
      <c r="L43" s="852"/>
      <c r="M43" s="852"/>
      <c r="N43" s="852"/>
      <c r="O43" s="852"/>
      <c r="P43" s="948">
        <f>P41*100/O41</f>
        <v>5.342745763865416</v>
      </c>
      <c r="Q43" s="852"/>
      <c r="R43" s="852"/>
      <c r="S43" s="852"/>
      <c r="T43" s="852"/>
      <c r="U43" s="852"/>
      <c r="V43" s="852"/>
      <c r="W43" s="852"/>
      <c r="X43" s="852"/>
      <c r="Y43" s="852"/>
      <c r="Z43" s="852"/>
      <c r="AA43" s="852"/>
      <c r="AB43" s="852"/>
      <c r="AC43" s="852"/>
    </row>
    <row r="44" spans="1:29" ht="15">
      <c r="A44" s="1124" t="s">
        <v>1186</v>
      </c>
      <c r="B44" s="1124"/>
      <c r="C44" s="1124"/>
      <c r="D44" s="1124"/>
      <c r="E44" s="1124"/>
      <c r="F44" s="1124"/>
      <c r="G44" s="1124"/>
      <c r="H44" s="1124"/>
      <c r="I44" s="1124"/>
      <c r="J44" s="1124"/>
      <c r="K44" s="852" t="s">
        <v>1185</v>
      </c>
      <c r="L44" s="852"/>
      <c r="M44" s="951">
        <f>M42/L42</f>
        <v>10860.183174959637</v>
      </c>
      <c r="N44" s="852"/>
      <c r="O44" s="852" t="s">
        <v>1184</v>
      </c>
      <c r="P44" s="852"/>
      <c r="Q44" s="852"/>
      <c r="R44" s="852"/>
      <c r="S44" s="852"/>
      <c r="T44" s="852"/>
      <c r="U44" s="852" t="s">
        <v>1183</v>
      </c>
      <c r="V44" s="948">
        <f>(O41*100)/(780000*AB40)</f>
        <v>44.48675447839831</v>
      </c>
      <c r="W44" s="852"/>
      <c r="X44" s="852"/>
      <c r="Y44" s="852"/>
      <c r="Z44" s="945">
        <f>Q15*X15</f>
        <v>39074162</v>
      </c>
      <c r="AA44" s="852"/>
      <c r="AB44" s="852"/>
      <c r="AC44" s="852"/>
    </row>
    <row r="45" spans="1:29" ht="15">
      <c r="A45" s="852"/>
      <c r="B45" s="852"/>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f>19928367.8*2.87</f>
        <v>57194415.586</v>
      </c>
      <c r="AA45" s="852"/>
      <c r="AB45" s="852"/>
      <c r="AC45" s="852"/>
    </row>
    <row r="46" spans="1:29" ht="15">
      <c r="A46" s="1124" t="s">
        <v>1182</v>
      </c>
      <c r="B46" s="1124"/>
      <c r="C46" s="1124"/>
      <c r="D46" s="1124"/>
      <c r="E46" s="996">
        <f>ROUND((L42*M44)/O41,2)</f>
        <v>2634.28</v>
      </c>
      <c r="F46" s="996"/>
      <c r="G46" s="951">
        <f>(L42*M44)/O41</f>
        <v>2634.2759306930893</v>
      </c>
      <c r="H46" s="852"/>
      <c r="I46" s="852"/>
      <c r="J46" s="852" t="s">
        <v>1181</v>
      </c>
      <c r="K46" s="852"/>
      <c r="L46" s="852"/>
      <c r="M46" s="852"/>
      <c r="N46" s="852"/>
      <c r="O46" s="852"/>
      <c r="P46" s="852"/>
      <c r="Q46" s="852"/>
      <c r="R46" s="852"/>
      <c r="S46" s="852"/>
      <c r="T46" s="852"/>
      <c r="U46" s="852"/>
      <c r="V46" s="852"/>
      <c r="W46" s="852"/>
      <c r="X46" s="852"/>
      <c r="Y46" s="852"/>
      <c r="Z46" s="852"/>
      <c r="AA46" s="852"/>
      <c r="AB46" s="852"/>
      <c r="AC46" s="852"/>
    </row>
    <row r="47" spans="1:29" ht="15">
      <c r="A47" s="852"/>
      <c r="B47" s="852"/>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row>
    <row r="48" spans="1:29" ht="15">
      <c r="A48" s="852" t="s">
        <v>1180</v>
      </c>
      <c r="B48" s="852"/>
      <c r="C48" s="852"/>
      <c r="D48" s="852"/>
      <c r="E48" s="852"/>
      <c r="F48" s="852"/>
      <c r="G48" s="852"/>
      <c r="H48" s="852"/>
      <c r="I48" s="852" t="s">
        <v>1179</v>
      </c>
      <c r="J48" s="852"/>
      <c r="K48" s="852" t="s">
        <v>1178</v>
      </c>
      <c r="L48" s="946">
        <f>(2646*C50*100)/(M44*(100-5))</f>
        <v>1.9775244896555801</v>
      </c>
      <c r="M48" s="852"/>
      <c r="N48" s="852"/>
      <c r="O48" s="950" t="s">
        <v>1894</v>
      </c>
      <c r="P48" s="950" t="s">
        <v>1895</v>
      </c>
      <c r="Q48" s="948">
        <f>L48+O50</f>
        <v>3.422035115815901</v>
      </c>
      <c r="R48" s="852"/>
      <c r="S48" s="852"/>
      <c r="T48" s="852"/>
      <c r="U48" s="852"/>
      <c r="V48" s="852"/>
      <c r="W48" s="852"/>
      <c r="X48" s="852"/>
      <c r="Y48" s="852"/>
      <c r="Z48" s="852"/>
      <c r="AA48" s="852"/>
      <c r="AB48" s="852"/>
      <c r="AC48" s="852"/>
    </row>
    <row r="49" spans="1:29" ht="15">
      <c r="A49" s="852"/>
      <c r="B49" s="852"/>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row>
    <row r="50" spans="1:29" ht="15">
      <c r="A50" s="852"/>
      <c r="B50" s="852" t="s">
        <v>1177</v>
      </c>
      <c r="C50" s="952">
        <f>V41/L42</f>
        <v>7.710681890059246</v>
      </c>
      <c r="D50" s="946">
        <f>V41*1000/L42</f>
        <v>7710.681890059246</v>
      </c>
      <c r="E50" s="852"/>
      <c r="F50" s="852"/>
      <c r="G50" s="852"/>
      <c r="H50" s="852"/>
      <c r="I50" s="950" t="s">
        <v>1896</v>
      </c>
      <c r="J50" s="852"/>
      <c r="K50" s="852"/>
      <c r="L50" s="852"/>
      <c r="M50" s="950" t="s">
        <v>1897</v>
      </c>
      <c r="N50" s="852"/>
      <c r="O50" s="952">
        <f>AD40/Q41</f>
        <v>1.4445106261603207</v>
      </c>
      <c r="P50" s="852"/>
      <c r="Q50" s="852"/>
      <c r="R50" s="852"/>
      <c r="S50" s="852"/>
      <c r="T50" s="852"/>
      <c r="U50" s="852"/>
      <c r="V50" s="852"/>
      <c r="W50" s="852"/>
      <c r="X50" s="852"/>
      <c r="Y50" s="852"/>
      <c r="Z50" s="852"/>
      <c r="AA50" s="852"/>
      <c r="AB50" s="852"/>
      <c r="AC50" s="852"/>
    </row>
    <row r="51" spans="1:29" ht="15">
      <c r="A51" s="852"/>
      <c r="B51" s="852"/>
      <c r="C51" s="953"/>
      <c r="D51" s="852"/>
      <c r="E51" s="852"/>
      <c r="F51" s="852"/>
      <c r="G51" s="954"/>
      <c r="H51" s="955"/>
      <c r="I51" s="869"/>
      <c r="J51" s="852"/>
      <c r="K51" s="852"/>
      <c r="L51" s="852"/>
      <c r="M51" s="852"/>
      <c r="N51" s="852"/>
      <c r="O51" s="852"/>
      <c r="P51" s="852"/>
      <c r="Q51" s="852"/>
      <c r="R51" s="852"/>
      <c r="S51" s="852"/>
      <c r="T51" s="852"/>
      <c r="U51" s="852"/>
      <c r="V51" s="852"/>
      <c r="W51" s="852"/>
      <c r="X51" s="852"/>
      <c r="Y51" s="852"/>
      <c r="Z51" s="852"/>
      <c r="AA51" s="852"/>
      <c r="AB51" s="852"/>
      <c r="AC51" s="852"/>
    </row>
  </sheetData>
  <sheetProtection/>
  <mergeCells count="38">
    <mergeCell ref="A46:D46"/>
    <mergeCell ref="A34:A35"/>
    <mergeCell ref="B34:B35"/>
    <mergeCell ref="T34:T35"/>
    <mergeCell ref="A37:A38"/>
    <mergeCell ref="B37:B38"/>
    <mergeCell ref="A44:J44"/>
    <mergeCell ref="B26:B27"/>
    <mergeCell ref="A28:A29"/>
    <mergeCell ref="B28:B29"/>
    <mergeCell ref="T28:T29"/>
    <mergeCell ref="A31:A32"/>
    <mergeCell ref="B31:B32"/>
    <mergeCell ref="T31:T32"/>
    <mergeCell ref="A19:A20"/>
    <mergeCell ref="B19:B20"/>
    <mergeCell ref="T19:T20"/>
    <mergeCell ref="A23:A24"/>
    <mergeCell ref="B23:B24"/>
    <mergeCell ref="T23:T24"/>
    <mergeCell ref="A13:A14"/>
    <mergeCell ref="B13:B14"/>
    <mergeCell ref="T13:T14"/>
    <mergeCell ref="A16:A17"/>
    <mergeCell ref="B16:B17"/>
    <mergeCell ref="T16:T17"/>
    <mergeCell ref="A7:A8"/>
    <mergeCell ref="B7:B8"/>
    <mergeCell ref="T7:T8"/>
    <mergeCell ref="A10:A11"/>
    <mergeCell ref="B10:B11"/>
    <mergeCell ref="T10:T11"/>
    <mergeCell ref="A1:Z1"/>
    <mergeCell ref="D2:G2"/>
    <mergeCell ref="H2:I2"/>
    <mergeCell ref="J2:L2"/>
    <mergeCell ref="A4:A6"/>
    <mergeCell ref="B4:B6"/>
  </mergeCells>
  <printOptions horizontalCentered="1" verticalCentered="1"/>
  <pageMargins left="0.16" right="0.16" top="0.27" bottom="0.2" header="0.3" footer="0.15"/>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dimension ref="A1:H60"/>
  <sheetViews>
    <sheetView zoomScalePageLayoutView="0" workbookViewId="0" topLeftCell="A56">
      <selection activeCell="A1" sqref="A1:E60"/>
    </sheetView>
  </sheetViews>
  <sheetFormatPr defaultColWidth="9.33203125" defaultRowHeight="12.75"/>
  <cols>
    <col min="1" max="1" width="64.66015625" style="0" customWidth="1"/>
    <col min="2" max="2" width="33" style="0" customWidth="1"/>
    <col min="3" max="3" width="9.33203125" style="0" customWidth="1"/>
    <col min="4" max="4" width="11.5" style="0" customWidth="1"/>
    <col min="5" max="5" width="8.83203125" style="0" customWidth="1"/>
  </cols>
  <sheetData>
    <row r="1" spans="1:8" ht="42.75" customHeight="1">
      <c r="A1" s="1248" t="s">
        <v>172</v>
      </c>
      <c r="B1" s="1248"/>
      <c r="C1" s="1248"/>
      <c r="D1" s="1246" t="s">
        <v>1929</v>
      </c>
      <c r="E1" s="1247"/>
      <c r="F1" s="1204"/>
      <c r="G1" s="1204"/>
      <c r="H1" s="1204"/>
    </row>
    <row r="2" spans="1:5" ht="34.5" customHeight="1">
      <c r="A2" s="1249" t="s">
        <v>1922</v>
      </c>
      <c r="B2" s="1198"/>
      <c r="C2" s="1198"/>
      <c r="D2" s="1198"/>
      <c r="E2" s="1198"/>
    </row>
    <row r="3" spans="1:4" ht="17.25" customHeight="1">
      <c r="A3" s="1" t="s">
        <v>175</v>
      </c>
      <c r="B3" s="1" t="s">
        <v>176</v>
      </c>
      <c r="C3" s="986" t="s">
        <v>177</v>
      </c>
      <c r="D3" s="1" t="s">
        <v>178</v>
      </c>
    </row>
    <row r="4" spans="1:4" ht="17.25" customHeight="1">
      <c r="A4" s="3" t="s">
        <v>180</v>
      </c>
      <c r="B4" s="991">
        <v>32.5</v>
      </c>
      <c r="C4" s="987"/>
      <c r="D4" s="979"/>
    </row>
    <row r="5" spans="1:4" ht="17.25" customHeight="1">
      <c r="A5" s="3" t="s">
        <v>181</v>
      </c>
      <c r="B5" s="991"/>
      <c r="C5" s="987"/>
      <c r="D5" s="979"/>
    </row>
    <row r="6" spans="1:4" ht="17.25" customHeight="1">
      <c r="A6" s="3" t="s">
        <v>182</v>
      </c>
      <c r="B6" s="991" t="s">
        <v>1923</v>
      </c>
      <c r="C6" s="987"/>
      <c r="D6" s="979"/>
    </row>
    <row r="7" spans="1:4" ht="17.25" customHeight="1">
      <c r="A7" s="3" t="s">
        <v>183</v>
      </c>
      <c r="B7" s="991" t="s">
        <v>1510</v>
      </c>
      <c r="C7" s="987"/>
      <c r="D7" s="979"/>
    </row>
    <row r="8" spans="1:4" ht="17.25" customHeight="1">
      <c r="A8" s="3" t="s">
        <v>184</v>
      </c>
      <c r="B8" s="991" t="s">
        <v>1924</v>
      </c>
      <c r="C8" s="987"/>
      <c r="D8" s="979"/>
    </row>
    <row r="9" spans="1:4" ht="17.25" customHeight="1">
      <c r="A9" s="3" t="s">
        <v>185</v>
      </c>
      <c r="B9" s="991" t="s">
        <v>1924</v>
      </c>
      <c r="C9" s="987"/>
      <c r="D9" s="979"/>
    </row>
    <row r="10" spans="1:4" ht="34.5" customHeight="1">
      <c r="A10" s="5" t="s">
        <v>186</v>
      </c>
      <c r="B10" s="991">
        <v>44</v>
      </c>
      <c r="C10" s="987"/>
      <c r="D10" s="979"/>
    </row>
    <row r="11" spans="1:4" ht="17.25" customHeight="1">
      <c r="A11" s="5" t="s">
        <v>187</v>
      </c>
      <c r="B11" s="991">
        <v>385</v>
      </c>
      <c r="C11" s="987"/>
      <c r="D11" s="979"/>
    </row>
    <row r="12" spans="1:4" ht="17.25" customHeight="1">
      <c r="A12" s="5" t="s">
        <v>188</v>
      </c>
      <c r="B12" s="991" t="s">
        <v>1510</v>
      </c>
      <c r="C12" s="987"/>
      <c r="D12" s="979"/>
    </row>
    <row r="13" spans="1:4" ht="17.25" customHeight="1">
      <c r="A13" s="5" t="s">
        <v>189</v>
      </c>
      <c r="B13" s="991" t="s">
        <v>1510</v>
      </c>
      <c r="C13" s="987"/>
      <c r="D13" s="979"/>
    </row>
    <row r="14" spans="1:4" ht="34.5" customHeight="1">
      <c r="A14" s="5" t="s">
        <v>190</v>
      </c>
      <c r="B14" s="991">
        <v>46</v>
      </c>
      <c r="C14" s="987"/>
      <c r="D14" s="979"/>
    </row>
    <row r="15" spans="1:4" ht="34.5" customHeight="1">
      <c r="A15" s="5" t="s">
        <v>191</v>
      </c>
      <c r="B15" s="979"/>
      <c r="C15" s="987"/>
      <c r="D15" s="979"/>
    </row>
    <row r="16" spans="1:4" ht="34.5" customHeight="1">
      <c r="A16" s="5" t="s">
        <v>192</v>
      </c>
      <c r="B16" s="979"/>
      <c r="C16" s="987"/>
      <c r="D16" s="979"/>
    </row>
    <row r="17" spans="1:4" ht="34.5" customHeight="1">
      <c r="A17" s="5" t="s">
        <v>193</v>
      </c>
      <c r="B17" s="979"/>
      <c r="C17" s="987"/>
      <c r="D17" s="979"/>
    </row>
    <row r="18" spans="1:4" ht="34.5" customHeight="1">
      <c r="A18" s="5" t="s">
        <v>194</v>
      </c>
      <c r="B18" s="979"/>
      <c r="C18" s="987"/>
      <c r="D18" s="979"/>
    </row>
    <row r="19" spans="1:4" ht="34.5" customHeight="1">
      <c r="A19" s="5" t="s">
        <v>195</v>
      </c>
      <c r="B19" s="979"/>
      <c r="C19" s="987"/>
      <c r="D19" s="979"/>
    </row>
    <row r="20" spans="1:4" ht="17.25" customHeight="1">
      <c r="A20" s="3" t="s">
        <v>196</v>
      </c>
      <c r="B20" s="979"/>
      <c r="C20" s="987"/>
      <c r="D20" s="979"/>
    </row>
    <row r="21" spans="1:4" ht="17.25" customHeight="1">
      <c r="A21" s="3" t="s">
        <v>197</v>
      </c>
      <c r="B21" s="992">
        <v>0.022</v>
      </c>
      <c r="C21" s="987"/>
      <c r="D21" s="979"/>
    </row>
    <row r="22" spans="1:4" ht="17.25" customHeight="1">
      <c r="A22" s="3" t="s">
        <v>198</v>
      </c>
      <c r="B22" s="991" t="s">
        <v>1932</v>
      </c>
      <c r="C22" s="987"/>
      <c r="D22" s="979"/>
    </row>
    <row r="23" spans="1:4" ht="17.25" customHeight="1">
      <c r="A23" s="3" t="s">
        <v>199</v>
      </c>
      <c r="B23" s="991" t="s">
        <v>1933</v>
      </c>
      <c r="C23" s="987"/>
      <c r="D23" s="979"/>
    </row>
    <row r="24" spans="1:4" ht="17.25" customHeight="1">
      <c r="A24" s="5" t="s">
        <v>200</v>
      </c>
      <c r="B24" s="991" t="s">
        <v>1934</v>
      </c>
      <c r="C24" s="987"/>
      <c r="D24" s="979"/>
    </row>
    <row r="25" spans="1:4" ht="17.25" customHeight="1">
      <c r="A25" s="3" t="s">
        <v>201</v>
      </c>
      <c r="B25" s="979"/>
      <c r="C25" s="987"/>
      <c r="D25" s="979"/>
    </row>
    <row r="26" spans="1:4" ht="34.5" customHeight="1">
      <c r="A26" s="5" t="s">
        <v>202</v>
      </c>
      <c r="B26" s="979"/>
      <c r="C26" s="987"/>
      <c r="D26" s="979"/>
    </row>
    <row r="27" spans="1:4" ht="34.5" customHeight="1">
      <c r="A27" s="5" t="s">
        <v>203</v>
      </c>
      <c r="B27" s="979"/>
      <c r="C27" s="987"/>
      <c r="D27" s="979"/>
    </row>
    <row r="28" spans="1:4" ht="45" customHeight="1">
      <c r="A28" s="5" t="s">
        <v>204</v>
      </c>
      <c r="B28" s="979"/>
      <c r="C28" s="987"/>
      <c r="D28" s="979"/>
    </row>
    <row r="29" spans="1:4" ht="34.5" customHeight="1">
      <c r="A29" s="5" t="s">
        <v>205</v>
      </c>
      <c r="B29" s="979"/>
      <c r="C29" s="987"/>
      <c r="D29" s="979"/>
    </row>
    <row r="30" spans="1:4" ht="17.25" customHeight="1">
      <c r="A30" s="5" t="s">
        <v>206</v>
      </c>
      <c r="B30" s="979"/>
      <c r="C30" s="987"/>
      <c r="D30" s="979"/>
    </row>
    <row r="31" spans="1:4" ht="34.5" customHeight="1">
      <c r="A31" s="5" t="s">
        <v>207</v>
      </c>
      <c r="B31" s="979"/>
      <c r="C31" s="987"/>
      <c r="D31" s="979"/>
    </row>
    <row r="32" spans="1:4" ht="15" customHeight="1">
      <c r="A32" s="1089"/>
      <c r="B32" s="1090"/>
      <c r="C32" s="1090"/>
      <c r="D32" s="1090"/>
    </row>
    <row r="33" spans="1:4" ht="36" customHeight="1">
      <c r="A33" s="1" t="s">
        <v>208</v>
      </c>
      <c r="B33" s="991" t="s">
        <v>1925</v>
      </c>
      <c r="C33" s="988"/>
      <c r="D33" s="977"/>
    </row>
    <row r="34" spans="1:4" ht="47.25" customHeight="1">
      <c r="A34" s="5" t="s">
        <v>209</v>
      </c>
      <c r="B34" s="991" t="s">
        <v>1926</v>
      </c>
      <c r="C34" s="988"/>
      <c r="D34" s="977"/>
    </row>
    <row r="35" spans="1:4" ht="46.5" customHeight="1">
      <c r="A35" s="5" t="s">
        <v>210</v>
      </c>
      <c r="B35" s="991" t="s">
        <v>1927</v>
      </c>
      <c r="C35" s="988"/>
      <c r="D35" s="977"/>
    </row>
    <row r="36" spans="1:4" ht="18" customHeight="1">
      <c r="A36" s="1" t="s">
        <v>211</v>
      </c>
      <c r="B36" s="991" t="s">
        <v>1510</v>
      </c>
      <c r="C36" s="988"/>
      <c r="D36" s="977"/>
    </row>
    <row r="37" spans="1:4" ht="17.25" customHeight="1">
      <c r="A37" s="5" t="s">
        <v>212</v>
      </c>
      <c r="B37" s="993"/>
      <c r="C37" s="988"/>
      <c r="D37" s="977"/>
    </row>
    <row r="38" spans="1:4" ht="28.5" customHeight="1">
      <c r="A38" s="3" t="s">
        <v>213</v>
      </c>
      <c r="B38" s="993" t="s">
        <v>1928</v>
      </c>
      <c r="C38" s="988"/>
      <c r="D38" s="977"/>
    </row>
    <row r="39" spans="1:4" ht="17.25" customHeight="1">
      <c r="A39" s="3" t="s">
        <v>214</v>
      </c>
      <c r="B39" s="993"/>
      <c r="C39" s="988"/>
      <c r="D39" s="977"/>
    </row>
    <row r="40" spans="1:4" ht="17.25" customHeight="1">
      <c r="A40" s="3" t="s">
        <v>215</v>
      </c>
      <c r="B40" s="993"/>
      <c r="C40" s="988"/>
      <c r="D40" s="977"/>
    </row>
    <row r="41" spans="1:4" ht="17.25" customHeight="1">
      <c r="A41" s="3" t="s">
        <v>216</v>
      </c>
      <c r="B41" s="993" t="s">
        <v>1930</v>
      </c>
      <c r="C41" s="988"/>
      <c r="D41" s="977"/>
    </row>
    <row r="42" spans="1:4" ht="24" customHeight="1">
      <c r="A42" s="3" t="s">
        <v>217</v>
      </c>
      <c r="B42" s="991" t="s">
        <v>1930</v>
      </c>
      <c r="C42" s="988"/>
      <c r="D42" s="977"/>
    </row>
    <row r="43" spans="1:4" ht="48.75" customHeight="1">
      <c r="A43" s="3" t="s">
        <v>218</v>
      </c>
      <c r="B43" s="991" t="s">
        <v>1931</v>
      </c>
      <c r="C43" s="988"/>
      <c r="D43" s="977"/>
    </row>
    <row r="44" spans="1:4" ht="17.25" customHeight="1">
      <c r="A44" s="1229" t="s">
        <v>219</v>
      </c>
      <c r="B44" s="1244"/>
      <c r="C44" s="1244"/>
      <c r="D44" s="1244"/>
    </row>
    <row r="45" spans="1:4" ht="17.25" customHeight="1">
      <c r="A45" s="1229" t="s">
        <v>220</v>
      </c>
      <c r="B45" s="1244"/>
      <c r="C45" s="1244"/>
      <c r="D45" s="1244"/>
    </row>
    <row r="46" spans="1:4" ht="17.25" customHeight="1">
      <c r="A46" s="1229" t="s">
        <v>221</v>
      </c>
      <c r="B46" s="1244"/>
      <c r="C46" s="1244"/>
      <c r="D46" s="1244"/>
    </row>
    <row r="47" spans="1:4" ht="17.25" customHeight="1">
      <c r="A47" s="1076" t="s">
        <v>222</v>
      </c>
      <c r="B47" s="1077"/>
      <c r="C47" s="1077"/>
      <c r="D47" s="1077"/>
    </row>
    <row r="48" spans="1:4" ht="21" customHeight="1">
      <c r="A48" s="1224" t="s">
        <v>223</v>
      </c>
      <c r="B48" s="1236"/>
      <c r="C48" s="1236"/>
      <c r="D48" s="1236"/>
    </row>
    <row r="49" spans="1:4" ht="17.25" customHeight="1">
      <c r="A49" s="1224" t="s">
        <v>224</v>
      </c>
      <c r="B49" s="1236"/>
      <c r="C49" s="1236"/>
      <c r="D49" s="1236"/>
    </row>
    <row r="50" spans="1:4" ht="34.5" customHeight="1">
      <c r="A50" s="1229" t="s">
        <v>225</v>
      </c>
      <c r="B50" s="1244"/>
      <c r="C50" s="1244"/>
      <c r="D50" s="1244"/>
    </row>
    <row r="51" spans="1:4" ht="18" customHeight="1">
      <c r="A51" s="1224" t="s">
        <v>226</v>
      </c>
      <c r="B51" s="1236"/>
      <c r="C51" s="1236"/>
      <c r="D51" s="1236"/>
    </row>
    <row r="52" spans="1:4" ht="34.5" customHeight="1">
      <c r="A52" s="1245" t="s">
        <v>1935</v>
      </c>
      <c r="B52" s="1244"/>
      <c r="C52" s="1244"/>
      <c r="D52" s="1244"/>
    </row>
    <row r="53" spans="1:4" ht="17.25" customHeight="1">
      <c r="A53" s="1224" t="s">
        <v>228</v>
      </c>
      <c r="B53" s="1236"/>
      <c r="C53" s="1236"/>
      <c r="D53" s="1236"/>
    </row>
    <row r="54" spans="1:4" ht="24" customHeight="1">
      <c r="A54" s="1245" t="s">
        <v>1936</v>
      </c>
      <c r="B54" s="1236"/>
      <c r="C54" s="1236"/>
      <c r="D54" s="1236"/>
    </row>
    <row r="55" spans="1:4" ht="34.5" customHeight="1">
      <c r="A55" s="1245" t="s">
        <v>1937</v>
      </c>
      <c r="B55" s="1244"/>
      <c r="C55" s="1244"/>
      <c r="D55" s="1244"/>
    </row>
    <row r="56" spans="1:4" ht="25.5" customHeight="1">
      <c r="A56" s="1224" t="s">
        <v>231</v>
      </c>
      <c r="B56" s="1236"/>
      <c r="C56" s="1236"/>
      <c r="D56" s="1236"/>
    </row>
    <row r="57" spans="1:4" ht="25.5" customHeight="1">
      <c r="A57" s="1245" t="s">
        <v>1938</v>
      </c>
      <c r="B57" s="1236"/>
      <c r="C57" s="1236"/>
      <c r="D57" s="1236"/>
    </row>
    <row r="58" spans="1:4" ht="34.5" customHeight="1">
      <c r="A58" s="1245" t="s">
        <v>1939</v>
      </c>
      <c r="B58" s="1244"/>
      <c r="C58" s="1244"/>
      <c r="D58" s="1244"/>
    </row>
    <row r="59" spans="1:4" ht="34.5" customHeight="1">
      <c r="A59" s="1229" t="s">
        <v>234</v>
      </c>
      <c r="B59" s="1244"/>
      <c r="C59" s="1244"/>
      <c r="D59" s="1244"/>
    </row>
    <row r="60" spans="1:4" ht="44.25" customHeight="1">
      <c r="A60" s="1229" t="s">
        <v>235</v>
      </c>
      <c r="B60" s="1244"/>
      <c r="C60" s="1244"/>
      <c r="D60" s="1244"/>
    </row>
  </sheetData>
  <sheetProtection/>
  <mergeCells count="22">
    <mergeCell ref="A51:D51"/>
    <mergeCell ref="A44:D44"/>
    <mergeCell ref="A45:D45"/>
    <mergeCell ref="A46:D46"/>
    <mergeCell ref="A47:D47"/>
    <mergeCell ref="A49:D49"/>
    <mergeCell ref="A50:D50"/>
    <mergeCell ref="F1:H1"/>
    <mergeCell ref="D1:E1"/>
    <mergeCell ref="A1:C1"/>
    <mergeCell ref="A2:E2"/>
    <mergeCell ref="A32:D32"/>
    <mergeCell ref="A48:D48"/>
    <mergeCell ref="A60:D60"/>
    <mergeCell ref="A54:D54"/>
    <mergeCell ref="A55:D55"/>
    <mergeCell ref="A56:D56"/>
    <mergeCell ref="A57:D57"/>
    <mergeCell ref="A52:D52"/>
    <mergeCell ref="A53:D53"/>
    <mergeCell ref="A59:D59"/>
    <mergeCell ref="A58:D58"/>
  </mergeCells>
  <printOptions horizontalCentered="1" verticalCentered="1"/>
  <pageMargins left="0.25" right="0.25" top="0.34" bottom="0.16" header="0.3" footer="0.3"/>
  <pageSetup horizontalDpi="600" verticalDpi="600" orientation="portrait" scale="85" r:id="rId1"/>
</worksheet>
</file>

<file path=xl/worksheets/sheet21.xml><?xml version="1.0" encoding="utf-8"?>
<worksheet xmlns="http://schemas.openxmlformats.org/spreadsheetml/2006/main" xmlns:r="http://schemas.openxmlformats.org/officeDocument/2006/relationships">
  <dimension ref="A1:I21"/>
  <sheetViews>
    <sheetView zoomScalePageLayoutView="0" workbookViewId="0" topLeftCell="A17">
      <selection activeCell="A1" sqref="A1:I21"/>
    </sheetView>
  </sheetViews>
  <sheetFormatPr defaultColWidth="9.33203125" defaultRowHeight="12.75"/>
  <cols>
    <col min="1" max="1" width="11.16015625" style="0" customWidth="1"/>
    <col min="2" max="2" width="64.66015625" style="0" customWidth="1"/>
    <col min="3" max="4" width="16.16015625" style="0" customWidth="1"/>
    <col min="5" max="5" width="15.83203125" style="0" customWidth="1"/>
    <col min="6" max="6" width="0.82421875" style="0" customWidth="1"/>
    <col min="7" max="7" width="15.16015625" style="0" customWidth="1"/>
    <col min="8" max="8" width="16.16015625" style="0" customWidth="1"/>
    <col min="9" max="9" width="16.33203125" style="0" customWidth="1"/>
  </cols>
  <sheetData>
    <row r="1" spans="1:9" ht="66" customHeight="1">
      <c r="A1" s="1250" t="s">
        <v>139</v>
      </c>
      <c r="B1" s="1250"/>
      <c r="C1" s="1250"/>
      <c r="D1" s="1250"/>
      <c r="E1" s="1250"/>
      <c r="F1" s="1250"/>
      <c r="G1" s="1250"/>
      <c r="H1" s="1250"/>
      <c r="I1" s="1250"/>
    </row>
    <row r="2" spans="1:9" ht="17.25" customHeight="1">
      <c r="A2" s="1251" t="s">
        <v>140</v>
      </c>
      <c r="B2" s="1251"/>
      <c r="C2" s="1251"/>
      <c r="D2" s="1251"/>
      <c r="E2" s="1251"/>
      <c r="F2" s="1251"/>
      <c r="G2" s="1251"/>
      <c r="H2" s="1251"/>
      <c r="I2" s="1251"/>
    </row>
    <row r="3" spans="1:9" ht="17.25" customHeight="1">
      <c r="A3" s="8" t="s">
        <v>92</v>
      </c>
      <c r="B3" s="2" t="s">
        <v>109</v>
      </c>
      <c r="C3" s="2" t="s">
        <v>112</v>
      </c>
      <c r="D3" s="2" t="s">
        <v>113</v>
      </c>
      <c r="E3" s="2" t="s">
        <v>114</v>
      </c>
      <c r="F3" s="1080" t="s">
        <v>115</v>
      </c>
      <c r="G3" s="1082"/>
      <c r="H3" s="957" t="s">
        <v>116</v>
      </c>
      <c r="I3" s="976" t="s">
        <v>1913</v>
      </c>
    </row>
    <row r="4" spans="1:9" ht="17.25" customHeight="1">
      <c r="A4" s="11">
        <v>1</v>
      </c>
      <c r="B4" s="11">
        <v>2</v>
      </c>
      <c r="C4" s="11">
        <v>3</v>
      </c>
      <c r="D4" s="11">
        <v>4</v>
      </c>
      <c r="E4" s="11">
        <v>5</v>
      </c>
      <c r="F4" s="1216">
        <v>6</v>
      </c>
      <c r="G4" s="1217"/>
      <c r="H4" s="956">
        <v>7</v>
      </c>
      <c r="I4" s="966">
        <v>8</v>
      </c>
    </row>
    <row r="5" spans="1:9" ht="17.25" customHeight="1">
      <c r="A5" s="9">
        <v>1</v>
      </c>
      <c r="B5" s="3" t="s">
        <v>141</v>
      </c>
      <c r="C5" s="979">
        <v>165.85</v>
      </c>
      <c r="D5" s="979">
        <v>169.01</v>
      </c>
      <c r="E5" s="979">
        <v>169.01</v>
      </c>
      <c r="F5" s="1226"/>
      <c r="G5" s="1228"/>
      <c r="H5" s="980"/>
      <c r="I5" s="966"/>
    </row>
    <row r="6" spans="1:9" ht="17.25" customHeight="1">
      <c r="A6" s="9">
        <v>2</v>
      </c>
      <c r="B6" s="3" t="s">
        <v>142</v>
      </c>
      <c r="C6" s="979"/>
      <c r="D6" s="979"/>
      <c r="E6" s="979"/>
      <c r="F6" s="1226"/>
      <c r="G6" s="1228"/>
      <c r="H6" s="980"/>
      <c r="I6" s="966"/>
    </row>
    <row r="7" spans="1:9" ht="17.25" customHeight="1">
      <c r="A7" s="9">
        <v>3</v>
      </c>
      <c r="B7" s="3" t="s">
        <v>143</v>
      </c>
      <c r="C7" s="979"/>
      <c r="D7" s="979"/>
      <c r="E7" s="979"/>
      <c r="F7" s="1226"/>
      <c r="G7" s="1228"/>
      <c r="H7" s="980"/>
      <c r="I7" s="966"/>
    </row>
    <row r="8" spans="1:9" ht="17.25" customHeight="1">
      <c r="A8" s="9">
        <v>4</v>
      </c>
      <c r="B8" s="3" t="s">
        <v>144</v>
      </c>
      <c r="C8" s="979"/>
      <c r="D8" s="979"/>
      <c r="E8" s="979"/>
      <c r="F8" s="1226"/>
      <c r="G8" s="1228"/>
      <c r="H8" s="980"/>
      <c r="I8" s="966"/>
    </row>
    <row r="9" spans="1:9" ht="17.25" customHeight="1">
      <c r="A9" s="9">
        <v>5</v>
      </c>
      <c r="B9" s="3" t="s">
        <v>145</v>
      </c>
      <c r="C9" s="979"/>
      <c r="D9" s="979"/>
      <c r="E9" s="979"/>
      <c r="F9" s="1226"/>
      <c r="G9" s="1228"/>
      <c r="H9" s="980"/>
      <c r="I9" s="966"/>
    </row>
    <row r="10" spans="1:9" ht="17.25" customHeight="1">
      <c r="A10" s="9">
        <v>6</v>
      </c>
      <c r="B10" s="1" t="s">
        <v>146</v>
      </c>
      <c r="C10" s="979"/>
      <c r="D10" s="979"/>
      <c r="E10" s="979"/>
      <c r="F10" s="1226"/>
      <c r="G10" s="1228"/>
      <c r="H10" s="980"/>
      <c r="I10" s="966"/>
    </row>
    <row r="11" spans="1:9" ht="17.25" customHeight="1">
      <c r="A11" s="9">
        <v>7</v>
      </c>
      <c r="B11" s="1" t="s">
        <v>147</v>
      </c>
      <c r="C11" s="979"/>
      <c r="D11" s="979"/>
      <c r="E11" s="979"/>
      <c r="F11" s="1226"/>
      <c r="G11" s="1228"/>
      <c r="H11" s="980"/>
      <c r="I11" s="966"/>
    </row>
    <row r="12" spans="1:9" ht="17.25" customHeight="1">
      <c r="A12" s="1251" t="s">
        <v>148</v>
      </c>
      <c r="B12" s="1251"/>
      <c r="C12" s="1251"/>
      <c r="D12" s="1251"/>
      <c r="E12" s="1251"/>
      <c r="F12" s="1251"/>
      <c r="G12" s="1251"/>
      <c r="H12" s="1251"/>
      <c r="I12" s="1251"/>
    </row>
    <row r="13" spans="1:9" ht="17.25" customHeight="1">
      <c r="A13" s="8" t="s">
        <v>92</v>
      </c>
      <c r="B13" s="2" t="s">
        <v>109</v>
      </c>
      <c r="C13" s="2" t="s">
        <v>112</v>
      </c>
      <c r="D13" s="2" t="s">
        <v>113</v>
      </c>
      <c r="E13" s="1080" t="s">
        <v>114</v>
      </c>
      <c r="F13" s="1082"/>
      <c r="G13" s="2" t="s">
        <v>115</v>
      </c>
      <c r="H13" s="957" t="s">
        <v>116</v>
      </c>
      <c r="I13" s="975" t="s">
        <v>1913</v>
      </c>
    </row>
    <row r="14" spans="1:9" ht="17.25" customHeight="1">
      <c r="A14" s="11">
        <v>1</v>
      </c>
      <c r="B14" s="11">
        <v>2</v>
      </c>
      <c r="C14" s="11">
        <v>3</v>
      </c>
      <c r="D14" s="11">
        <v>4</v>
      </c>
      <c r="E14" s="1216">
        <v>5</v>
      </c>
      <c r="F14" s="1217"/>
      <c r="G14" s="11">
        <v>6</v>
      </c>
      <c r="H14" s="956">
        <v>7</v>
      </c>
      <c r="I14" s="966">
        <v>8</v>
      </c>
    </row>
    <row r="15" spans="1:9" ht="17.25" customHeight="1">
      <c r="A15" s="9">
        <v>1</v>
      </c>
      <c r="B15" s="3" t="s">
        <v>141</v>
      </c>
      <c r="C15" s="979"/>
      <c r="D15" s="979"/>
      <c r="E15" s="1226"/>
      <c r="F15" s="1228"/>
      <c r="G15" s="979"/>
      <c r="H15" s="980"/>
      <c r="I15" s="966"/>
    </row>
    <row r="16" spans="1:9" ht="17.25" customHeight="1">
      <c r="A16" s="9">
        <v>2</v>
      </c>
      <c r="B16" s="3" t="s">
        <v>149</v>
      </c>
      <c r="C16" s="979"/>
      <c r="D16" s="979"/>
      <c r="E16" s="1226"/>
      <c r="F16" s="1228"/>
      <c r="G16" s="979"/>
      <c r="H16" s="980"/>
      <c r="I16" s="966"/>
    </row>
    <row r="17" spans="1:9" ht="17.25" customHeight="1">
      <c r="A17" s="9">
        <v>3</v>
      </c>
      <c r="B17" s="3" t="s">
        <v>150</v>
      </c>
      <c r="C17" s="979"/>
      <c r="D17" s="979"/>
      <c r="E17" s="1226"/>
      <c r="F17" s="1228"/>
      <c r="G17" s="979"/>
      <c r="H17" s="980"/>
      <c r="I17" s="966"/>
    </row>
    <row r="18" spans="1:9" ht="17.25" customHeight="1">
      <c r="A18" s="9">
        <v>4</v>
      </c>
      <c r="B18" s="3" t="s">
        <v>144</v>
      </c>
      <c r="C18" s="979"/>
      <c r="D18" s="979"/>
      <c r="E18" s="1226"/>
      <c r="F18" s="1228"/>
      <c r="G18" s="979"/>
      <c r="H18" s="980"/>
      <c r="I18" s="966"/>
    </row>
    <row r="19" spans="1:9" ht="17.25" customHeight="1">
      <c r="A19" s="9">
        <v>5</v>
      </c>
      <c r="B19" s="3" t="s">
        <v>151</v>
      </c>
      <c r="C19" s="979"/>
      <c r="D19" s="979"/>
      <c r="E19" s="1226"/>
      <c r="F19" s="1228"/>
      <c r="G19" s="979"/>
      <c r="H19" s="980"/>
      <c r="I19" s="966"/>
    </row>
    <row r="20" spans="1:9" ht="17.25" customHeight="1">
      <c r="A20" s="9">
        <v>6</v>
      </c>
      <c r="B20" s="1" t="s">
        <v>146</v>
      </c>
      <c r="C20" s="979"/>
      <c r="D20" s="979"/>
      <c r="E20" s="1226"/>
      <c r="F20" s="1228"/>
      <c r="G20" s="979"/>
      <c r="H20" s="980"/>
      <c r="I20" s="966"/>
    </row>
    <row r="21" spans="1:9" ht="17.25" customHeight="1">
      <c r="A21" s="9">
        <v>7</v>
      </c>
      <c r="B21" s="1" t="s">
        <v>147</v>
      </c>
      <c r="C21" s="979"/>
      <c r="D21" s="979"/>
      <c r="E21" s="1226"/>
      <c r="F21" s="1228"/>
      <c r="G21" s="979"/>
      <c r="H21" s="980"/>
      <c r="I21" s="966"/>
    </row>
  </sheetData>
  <sheetProtection/>
  <mergeCells count="21">
    <mergeCell ref="F8:G8"/>
    <mergeCell ref="E19:F19"/>
    <mergeCell ref="F10:G10"/>
    <mergeCell ref="A12:I12"/>
    <mergeCell ref="F11:G11"/>
    <mergeCell ref="F9:G9"/>
    <mergeCell ref="E21:F21"/>
    <mergeCell ref="E13:F13"/>
    <mergeCell ref="E14:F14"/>
    <mergeCell ref="E15:F15"/>
    <mergeCell ref="E16:F16"/>
    <mergeCell ref="E20:F20"/>
    <mergeCell ref="E17:F17"/>
    <mergeCell ref="E18:F18"/>
    <mergeCell ref="A1:I1"/>
    <mergeCell ref="A2:I2"/>
    <mergeCell ref="F3:G3"/>
    <mergeCell ref="F4:G4"/>
    <mergeCell ref="F5:G5"/>
    <mergeCell ref="F7:G7"/>
    <mergeCell ref="F6:G6"/>
  </mergeCells>
  <printOptions/>
  <pageMargins left="0.7086614173228347" right="0.35433070866141736" top="0.7480314960629921" bottom="0.7480314960629921" header="0.31496062992125984" footer="0.31496062992125984"/>
  <pageSetup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K25"/>
    </sheetView>
  </sheetViews>
  <sheetFormatPr defaultColWidth="9.33203125" defaultRowHeight="12.75"/>
  <cols>
    <col min="1" max="1" width="8.5" style="0" customWidth="1"/>
    <col min="2" max="2" width="56.83203125" style="0" customWidth="1"/>
    <col min="3" max="3" width="12" style="0" customWidth="1"/>
    <col min="4" max="4" width="12.5" style="0" customWidth="1"/>
    <col min="5" max="6" width="12.16015625" style="0" customWidth="1"/>
    <col min="7" max="7" width="16.83203125" style="0" customWidth="1"/>
    <col min="8" max="8" width="19.5" style="0" hidden="1" customWidth="1"/>
    <col min="9" max="9" width="11.83203125" style="0" customWidth="1"/>
    <col min="10" max="10" width="12.16015625" style="0" customWidth="1"/>
    <col min="11" max="11" width="11.16015625" style="0" customWidth="1"/>
  </cols>
  <sheetData>
    <row r="1" spans="1:11" ht="62.25" customHeight="1">
      <c r="A1" s="969" t="s">
        <v>106</v>
      </c>
      <c r="B1" s="969"/>
      <c r="C1" s="969"/>
      <c r="D1" s="969"/>
      <c r="E1" s="969"/>
      <c r="F1" s="969"/>
      <c r="G1" s="969"/>
      <c r="H1" s="970"/>
      <c r="I1" s="970" t="s">
        <v>107</v>
      </c>
      <c r="J1" s="970"/>
      <c r="K1" s="970"/>
    </row>
    <row r="2" spans="1:11" ht="51.75" customHeight="1">
      <c r="A2" s="1250" t="s">
        <v>108</v>
      </c>
      <c r="B2" s="1250"/>
      <c r="C2" s="1250"/>
      <c r="D2" s="1250"/>
      <c r="E2" s="1250"/>
      <c r="F2" s="1250"/>
      <c r="G2" s="1250"/>
      <c r="H2" s="1250"/>
      <c r="I2" s="1250"/>
      <c r="J2" s="1250"/>
      <c r="K2" s="1250"/>
    </row>
    <row r="3" spans="1:11" ht="34.5" customHeight="1">
      <c r="A3" s="1" t="s">
        <v>92</v>
      </c>
      <c r="B3" s="2" t="s">
        <v>109</v>
      </c>
      <c r="C3" s="2" t="s">
        <v>110</v>
      </c>
      <c r="D3" s="960" t="s">
        <v>1914</v>
      </c>
      <c r="E3" s="2" t="s">
        <v>112</v>
      </c>
      <c r="F3" s="2" t="s">
        <v>113</v>
      </c>
      <c r="G3" s="1257" t="s">
        <v>1915</v>
      </c>
      <c r="H3" s="1082"/>
      <c r="I3" s="2" t="s">
        <v>115</v>
      </c>
      <c r="J3" s="957" t="s">
        <v>116</v>
      </c>
      <c r="K3" s="961" t="s">
        <v>1916</v>
      </c>
    </row>
    <row r="4" spans="1:11" ht="17.25" customHeight="1">
      <c r="A4" s="11">
        <v>1</v>
      </c>
      <c r="B4" s="11">
        <v>2</v>
      </c>
      <c r="C4" s="11">
        <v>3</v>
      </c>
      <c r="D4" s="11">
        <v>4</v>
      </c>
      <c r="E4" s="11">
        <v>5</v>
      </c>
      <c r="F4" s="11">
        <v>6</v>
      </c>
      <c r="G4" s="1216">
        <v>7</v>
      </c>
      <c r="H4" s="1217"/>
      <c r="I4" s="11">
        <v>8</v>
      </c>
      <c r="J4" s="956">
        <v>9</v>
      </c>
      <c r="K4" s="962">
        <v>10</v>
      </c>
    </row>
    <row r="5" spans="1:11" ht="17.25" customHeight="1">
      <c r="A5" s="12">
        <v>1.1</v>
      </c>
      <c r="B5" s="3" t="s">
        <v>117</v>
      </c>
      <c r="C5" s="13" t="s">
        <v>118</v>
      </c>
      <c r="D5" s="964">
        <v>188</v>
      </c>
      <c r="E5" s="964">
        <v>235</v>
      </c>
      <c r="F5" s="964">
        <v>292</v>
      </c>
      <c r="G5" s="1253">
        <v>292</v>
      </c>
      <c r="H5" s="1254"/>
      <c r="I5" s="972">
        <f>'Tariff calc 24-25'!Q35*100</f>
        <v>224.00000000000003</v>
      </c>
      <c r="J5" s="973">
        <f>'Tariff calc 24-25'!R35*100</f>
        <v>224.45000000000022</v>
      </c>
      <c r="K5" s="974">
        <f>'Tariff calc 24-25'!S35*100</f>
        <v>224.4499999999988</v>
      </c>
    </row>
    <row r="6" spans="1:11" ht="17.25" customHeight="1">
      <c r="A6" s="12">
        <v>1.2</v>
      </c>
      <c r="B6" s="3" t="s">
        <v>119</v>
      </c>
      <c r="C6" s="13" t="s">
        <v>118</v>
      </c>
      <c r="D6" s="964">
        <v>0</v>
      </c>
      <c r="E6" s="964">
        <v>0</v>
      </c>
      <c r="F6" s="964">
        <v>0</v>
      </c>
      <c r="G6" s="1253">
        <v>0</v>
      </c>
      <c r="H6" s="1254"/>
      <c r="I6" s="964">
        <v>0</v>
      </c>
      <c r="J6" s="965">
        <v>0</v>
      </c>
      <c r="K6" s="966">
        <v>0</v>
      </c>
    </row>
    <row r="7" spans="1:11" ht="17.25" customHeight="1">
      <c r="A7" s="12">
        <v>1.3</v>
      </c>
      <c r="B7" s="5" t="s">
        <v>120</v>
      </c>
      <c r="C7" s="13" t="s">
        <v>118</v>
      </c>
      <c r="D7" s="964">
        <v>1089</v>
      </c>
      <c r="E7" s="964">
        <v>1088</v>
      </c>
      <c r="F7" s="964">
        <v>1109</v>
      </c>
      <c r="G7" s="1253">
        <v>1109</v>
      </c>
      <c r="H7" s="1254"/>
      <c r="I7" s="972">
        <f>'Tariff calc 24-25'!Q37*100</f>
        <v>1078.792176</v>
      </c>
      <c r="J7" s="973">
        <f>'Tariff calc 24-25'!R37*100</f>
        <v>1022.0000000000001</v>
      </c>
      <c r="K7" s="974">
        <f>'Tariff calc 24-25'!S37*100</f>
        <v>1022.0000000000001</v>
      </c>
    </row>
    <row r="8" spans="1:11" ht="17.25" customHeight="1">
      <c r="A8" s="12">
        <v>1.4</v>
      </c>
      <c r="B8" s="3" t="s">
        <v>121</v>
      </c>
      <c r="C8" s="13" t="s">
        <v>118</v>
      </c>
      <c r="D8" s="964">
        <v>292</v>
      </c>
      <c r="E8" s="964">
        <v>340</v>
      </c>
      <c r="F8" s="964">
        <v>349</v>
      </c>
      <c r="G8" s="1253">
        <v>357</v>
      </c>
      <c r="H8" s="1254"/>
      <c r="I8" s="972">
        <f>'Tariff calc 24-25'!Q38*100</f>
        <v>344.77897182821556</v>
      </c>
      <c r="J8" s="973">
        <f>'Tariff calc 24-25'!R38*100</f>
        <v>454.9351275</v>
      </c>
      <c r="K8" s="974">
        <f>'Tariff calc 24-25'!S38*100</f>
        <v>516.5283348749999</v>
      </c>
    </row>
    <row r="9" spans="1:11" ht="17.25" customHeight="1">
      <c r="A9" s="12">
        <v>1.5</v>
      </c>
      <c r="B9" s="3" t="s">
        <v>122</v>
      </c>
      <c r="C9" s="13" t="s">
        <v>118</v>
      </c>
      <c r="D9" s="964">
        <v>1414</v>
      </c>
      <c r="E9" s="964">
        <v>1510</v>
      </c>
      <c r="F9" s="964">
        <v>1613</v>
      </c>
      <c r="G9" s="1253">
        <v>1722</v>
      </c>
      <c r="H9" s="1254"/>
      <c r="I9" s="964">
        <f>'Tariff calc 24-25'!R39*100</f>
        <v>1964.5860000000002</v>
      </c>
      <c r="J9" s="965">
        <f>'Tariff calc 24-25'!S39*100</f>
        <v>2098.2195000000006</v>
      </c>
      <c r="K9" s="966">
        <f>'Tariff calc 24-25'!S39*100</f>
        <v>2098.2195000000006</v>
      </c>
    </row>
    <row r="10" spans="1:11" ht="17.25" customHeight="1">
      <c r="A10" s="12">
        <v>1.6</v>
      </c>
      <c r="B10" s="3" t="s">
        <v>123</v>
      </c>
      <c r="C10" s="13" t="s">
        <v>118</v>
      </c>
      <c r="D10" s="964"/>
      <c r="E10" s="964"/>
      <c r="F10" s="964"/>
      <c r="G10" s="1253"/>
      <c r="H10" s="1254"/>
      <c r="I10" s="964"/>
      <c r="J10" s="965"/>
      <c r="K10" s="966"/>
    </row>
    <row r="11" spans="1:11" ht="34.5" customHeight="1">
      <c r="A11" s="12">
        <v>1.7</v>
      </c>
      <c r="B11" s="5" t="s">
        <v>124</v>
      </c>
      <c r="C11" s="13" t="s">
        <v>125</v>
      </c>
      <c r="D11" s="964"/>
      <c r="E11" s="964"/>
      <c r="F11" s="964"/>
      <c r="G11" s="1253"/>
      <c r="H11" s="1254"/>
      <c r="I11" s="964"/>
      <c r="J11" s="965"/>
      <c r="K11" s="966"/>
    </row>
    <row r="12" spans="1:11" ht="17.25" customHeight="1">
      <c r="A12" s="4"/>
      <c r="B12" s="1" t="s">
        <v>126</v>
      </c>
      <c r="C12" s="13" t="s">
        <v>118</v>
      </c>
      <c r="D12" s="964">
        <f>SUM(D5:D11)</f>
        <v>2983</v>
      </c>
      <c r="E12" s="964">
        <f>SUM(E5:E11)</f>
        <v>3173</v>
      </c>
      <c r="F12" s="964">
        <f>SUM(F5:F11)</f>
        <v>3363</v>
      </c>
      <c r="G12" s="1253">
        <f>SUM(G5:G11)</f>
        <v>3480</v>
      </c>
      <c r="H12" s="1254"/>
      <c r="I12" s="973">
        <f>SUM(I5:I11)</f>
        <v>3612.157147828216</v>
      </c>
      <c r="J12" s="973">
        <f>SUM(J5:J11)</f>
        <v>3799.604627500001</v>
      </c>
      <c r="K12" s="973">
        <f>SUM(K5:K11)</f>
        <v>3861.1978348749994</v>
      </c>
    </row>
    <row r="13" spans="1:11" ht="34.5" customHeight="1">
      <c r="A13" s="12">
        <v>2.1</v>
      </c>
      <c r="B13" s="5" t="s">
        <v>127</v>
      </c>
      <c r="C13" s="13" t="s">
        <v>128</v>
      </c>
      <c r="D13" s="971">
        <f>'HR _2018-19'!J45</f>
        <v>10.065199634079303</v>
      </c>
      <c r="E13" s="971">
        <f>'HR _2019-20'!C50</f>
        <v>11.52408469406743</v>
      </c>
      <c r="F13" s="971">
        <f>'HR _2020-21 (3)'!C50</f>
        <v>7.915128229111525</v>
      </c>
      <c r="G13" s="1258" t="e">
        <f>((#REF!)/1000)</f>
        <v>#REF!</v>
      </c>
      <c r="H13" s="1259"/>
      <c r="I13" s="964">
        <v>7.7</v>
      </c>
      <c r="J13" s="964">
        <v>7.7</v>
      </c>
      <c r="K13" s="964">
        <v>7.7</v>
      </c>
    </row>
    <row r="14" spans="1:11" ht="17.25" customHeight="1">
      <c r="A14" s="4"/>
      <c r="B14" s="3" t="s">
        <v>129</v>
      </c>
      <c r="C14" s="13" t="s">
        <v>130</v>
      </c>
      <c r="D14" s="964"/>
      <c r="E14" s="964"/>
      <c r="F14" s="964"/>
      <c r="G14" s="1253"/>
      <c r="H14" s="1254"/>
      <c r="I14" s="964"/>
      <c r="J14" s="965"/>
      <c r="K14" s="966"/>
    </row>
    <row r="15" spans="1:11" ht="34.5" customHeight="1">
      <c r="A15" s="12">
        <v>2.2</v>
      </c>
      <c r="B15" s="5" t="s">
        <v>131</v>
      </c>
      <c r="C15" s="6"/>
      <c r="D15" s="964"/>
      <c r="E15" s="964"/>
      <c r="F15" s="964"/>
      <c r="G15" s="1253"/>
      <c r="H15" s="1254"/>
      <c r="I15" s="964"/>
      <c r="J15" s="965"/>
      <c r="K15" s="966"/>
    </row>
    <row r="16" spans="1:11" ht="17.25" customHeight="1">
      <c r="A16" s="4"/>
      <c r="B16" s="3" t="s">
        <v>129</v>
      </c>
      <c r="C16" s="4"/>
      <c r="D16" s="964"/>
      <c r="E16" s="964"/>
      <c r="F16" s="964"/>
      <c r="G16" s="1253"/>
      <c r="H16" s="1254"/>
      <c r="I16" s="964"/>
      <c r="J16" s="965"/>
      <c r="K16" s="966"/>
    </row>
    <row r="17" spans="1:11" ht="34.5" customHeight="1">
      <c r="A17" s="12">
        <v>2.3</v>
      </c>
      <c r="B17" s="5" t="s">
        <v>132</v>
      </c>
      <c r="C17" s="13" t="s">
        <v>128</v>
      </c>
      <c r="D17" s="964"/>
      <c r="E17" s="964"/>
      <c r="F17" s="964"/>
      <c r="G17" s="1253"/>
      <c r="H17" s="1254"/>
      <c r="I17" s="964"/>
      <c r="J17" s="965"/>
      <c r="K17" s="966"/>
    </row>
    <row r="18" spans="1:11" ht="17.25" customHeight="1">
      <c r="A18" s="4"/>
      <c r="B18" s="3" t="s">
        <v>129</v>
      </c>
      <c r="C18" s="13" t="s">
        <v>130</v>
      </c>
      <c r="D18" s="964">
        <v>100</v>
      </c>
      <c r="E18" s="964">
        <v>100</v>
      </c>
      <c r="F18" s="964">
        <v>100</v>
      </c>
      <c r="G18" s="1253">
        <v>100</v>
      </c>
      <c r="H18" s="1254"/>
      <c r="I18" s="964">
        <v>100</v>
      </c>
      <c r="J18" s="965">
        <v>100</v>
      </c>
      <c r="K18" s="966">
        <v>100</v>
      </c>
    </row>
    <row r="19" spans="1:11" ht="34.5" customHeight="1">
      <c r="A19" s="12">
        <v>2.4</v>
      </c>
      <c r="B19" s="5" t="s">
        <v>133</v>
      </c>
      <c r="C19" s="6"/>
      <c r="D19" s="964"/>
      <c r="E19" s="964"/>
      <c r="F19" s="964"/>
      <c r="G19" s="1253"/>
      <c r="H19" s="1254"/>
      <c r="I19" s="964"/>
      <c r="J19" s="965"/>
      <c r="K19" s="966"/>
    </row>
    <row r="20" spans="1:11" ht="17.25" customHeight="1">
      <c r="A20" s="4"/>
      <c r="B20" s="3" t="s">
        <v>129</v>
      </c>
      <c r="C20" s="4"/>
      <c r="D20" s="964"/>
      <c r="E20" s="964"/>
      <c r="F20" s="964"/>
      <c r="G20" s="1253"/>
      <c r="H20" s="1254"/>
      <c r="I20" s="964"/>
      <c r="J20" s="965"/>
      <c r="K20" s="966"/>
    </row>
    <row r="21" spans="1:11" ht="17.25" customHeight="1">
      <c r="A21" s="11">
        <v>1</v>
      </c>
      <c r="B21" s="11">
        <v>2</v>
      </c>
      <c r="C21" s="11">
        <v>3</v>
      </c>
      <c r="D21" s="967">
        <v>4</v>
      </c>
      <c r="E21" s="967">
        <v>5</v>
      </c>
      <c r="F21" s="967">
        <v>6</v>
      </c>
      <c r="G21" s="1255">
        <v>7</v>
      </c>
      <c r="H21" s="1256"/>
      <c r="I21" s="967">
        <v>8</v>
      </c>
      <c r="J21" s="968">
        <v>9</v>
      </c>
      <c r="K21" s="966"/>
    </row>
    <row r="22" spans="1:11" ht="17.25" customHeight="1">
      <c r="A22" s="12">
        <v>2.5</v>
      </c>
      <c r="B22" s="3" t="s">
        <v>134</v>
      </c>
      <c r="C22" s="13" t="s">
        <v>135</v>
      </c>
      <c r="D22" s="964"/>
      <c r="E22" s="964"/>
      <c r="F22" s="964"/>
      <c r="G22" s="1253"/>
      <c r="H22" s="1254"/>
      <c r="I22" s="964"/>
      <c r="J22" s="965"/>
      <c r="K22" s="966"/>
    </row>
    <row r="23" spans="1:11" ht="30" customHeight="1">
      <c r="A23" s="6"/>
      <c r="B23" s="5" t="s">
        <v>136</v>
      </c>
      <c r="C23" s="13" t="s">
        <v>135</v>
      </c>
      <c r="D23" s="964"/>
      <c r="E23" s="964"/>
      <c r="F23" s="964"/>
      <c r="G23" s="1253"/>
      <c r="H23" s="1254"/>
      <c r="I23" s="964"/>
      <c r="J23" s="965"/>
      <c r="K23" s="966"/>
    </row>
    <row r="24" spans="1:11" ht="17.25" customHeight="1">
      <c r="A24" s="1252" t="s">
        <v>137</v>
      </c>
      <c r="B24" s="1252"/>
      <c r="C24" s="1252"/>
      <c r="D24" s="1252"/>
      <c r="E24" s="1252"/>
      <c r="F24" s="1252"/>
      <c r="G24" s="1252"/>
      <c r="H24" s="1252"/>
      <c r="I24" s="1252"/>
      <c r="J24" s="1252"/>
      <c r="K24" s="1252"/>
    </row>
    <row r="25" spans="1:11" ht="130.5" customHeight="1">
      <c r="A25" s="1250" t="s">
        <v>138</v>
      </c>
      <c r="B25" s="1250"/>
      <c r="C25" s="1250"/>
      <c r="D25" s="1250"/>
      <c r="E25" s="1250"/>
      <c r="F25" s="1250"/>
      <c r="G25" s="1250"/>
      <c r="H25" s="1250"/>
      <c r="I25" s="1250"/>
      <c r="J25" s="1250"/>
      <c r="K25" s="1250"/>
    </row>
  </sheetData>
  <sheetProtection/>
  <mergeCells count="24">
    <mergeCell ref="G10:H10"/>
    <mergeCell ref="G16:H16"/>
    <mergeCell ref="G12:H12"/>
    <mergeCell ref="G13:H13"/>
    <mergeCell ref="G14:H14"/>
    <mergeCell ref="G15:H15"/>
    <mergeCell ref="A2:K2"/>
    <mergeCell ref="G3:H3"/>
    <mergeCell ref="G4:H4"/>
    <mergeCell ref="G5:H5"/>
    <mergeCell ref="G11:H11"/>
    <mergeCell ref="G17:H17"/>
    <mergeCell ref="G6:H6"/>
    <mergeCell ref="G7:H7"/>
    <mergeCell ref="G8:H8"/>
    <mergeCell ref="G9:H9"/>
    <mergeCell ref="A24:K24"/>
    <mergeCell ref="A25:K25"/>
    <mergeCell ref="G18:H18"/>
    <mergeCell ref="G19:H19"/>
    <mergeCell ref="G20:H20"/>
    <mergeCell ref="G21:H21"/>
    <mergeCell ref="G22:H22"/>
    <mergeCell ref="G23:H23"/>
  </mergeCells>
  <printOptions/>
  <pageMargins left="0.68" right="0.16" top="0.36" bottom="0.16" header="0.3" footer="0.16"/>
  <pageSetup horizontalDpi="600" verticalDpi="600" orientation="landscape" scale="75" r:id="rId1"/>
</worksheet>
</file>

<file path=xl/worksheets/sheet23.xml><?xml version="1.0" encoding="utf-8"?>
<worksheet xmlns="http://schemas.openxmlformats.org/spreadsheetml/2006/main" xmlns:r="http://schemas.openxmlformats.org/officeDocument/2006/relationships">
  <dimension ref="A1:AB111"/>
  <sheetViews>
    <sheetView tabSelected="1" zoomScalePageLayoutView="0" workbookViewId="0" topLeftCell="A72">
      <selection activeCell="S77" sqref="S77"/>
    </sheetView>
  </sheetViews>
  <sheetFormatPr defaultColWidth="9.33203125" defaultRowHeight="12.75"/>
  <cols>
    <col min="1" max="1" width="12.83203125" style="90" customWidth="1"/>
    <col min="2" max="2" width="18" style="90" customWidth="1"/>
    <col min="3" max="3" width="19.5" style="90" customWidth="1"/>
    <col min="4" max="4" width="10.5" style="90" hidden="1" customWidth="1"/>
    <col min="5" max="5" width="0.328125" style="90" hidden="1" customWidth="1"/>
    <col min="6" max="7" width="10.66015625" style="90" hidden="1" customWidth="1"/>
    <col min="8" max="8" width="10.5" style="90" hidden="1" customWidth="1"/>
    <col min="9" max="9" width="0.328125" style="90" customWidth="1"/>
    <col min="10" max="11" width="9" style="90" hidden="1" customWidth="1"/>
    <col min="12" max="12" width="9.33203125" style="90" hidden="1" customWidth="1"/>
    <col min="13" max="13" width="10.5" style="90" hidden="1" customWidth="1"/>
    <col min="14" max="15" width="11.5" style="90" hidden="1" customWidth="1"/>
    <col min="16" max="16" width="11.16015625" style="90" customWidth="1"/>
    <col min="17" max="17" width="11" style="90" customWidth="1"/>
    <col min="18" max="19" width="9.66015625" style="90" customWidth="1"/>
    <col min="20" max="20" width="26.16015625" style="90" customWidth="1"/>
    <col min="21" max="21" width="14" style="90" bestFit="1" customWidth="1"/>
    <col min="22" max="22" width="16.33203125" style="90" customWidth="1"/>
    <col min="23" max="16384" width="9.33203125" style="90" customWidth="1"/>
  </cols>
  <sheetData>
    <row r="1" spans="1:20" ht="12.75">
      <c r="A1" s="209"/>
      <c r="B1" s="209"/>
      <c r="C1" s="209"/>
      <c r="D1" s="209"/>
      <c r="T1" s="198"/>
    </row>
    <row r="2" spans="1:20" ht="12.75">
      <c r="A2" s="1263" t="s">
        <v>2016</v>
      </c>
      <c r="B2" s="1263"/>
      <c r="C2" s="1263"/>
      <c r="D2" s="1263"/>
      <c r="E2" s="1263"/>
      <c r="F2" s="1263"/>
      <c r="G2" s="1263"/>
      <c r="H2" s="1263"/>
      <c r="I2" s="1263"/>
      <c r="J2" s="1263"/>
      <c r="K2" s="1263"/>
      <c r="L2" s="1263"/>
      <c r="M2" s="1263"/>
      <c r="N2" s="1263"/>
      <c r="O2" s="1263"/>
      <c r="P2" s="1263"/>
      <c r="Q2" s="1263"/>
      <c r="R2" s="1263"/>
      <c r="S2" s="1263"/>
      <c r="T2" s="1263"/>
    </row>
    <row r="3" spans="1:20" ht="12.75">
      <c r="A3" s="1263" t="s">
        <v>1368</v>
      </c>
      <c r="B3" s="1263"/>
      <c r="C3" s="1263"/>
      <c r="D3" s="1263"/>
      <c r="E3" s="1263"/>
      <c r="F3" s="1263"/>
      <c r="G3" s="1263"/>
      <c r="H3" s="1263"/>
      <c r="I3" s="1263"/>
      <c r="J3" s="1263"/>
      <c r="K3" s="1263"/>
      <c r="L3" s="1263"/>
      <c r="M3" s="1263"/>
      <c r="N3" s="1263"/>
      <c r="O3" s="1263"/>
      <c r="P3" s="1263"/>
      <c r="Q3" s="1263"/>
      <c r="R3" s="1263"/>
      <c r="S3" s="1263"/>
      <c r="T3" s="1263"/>
    </row>
    <row r="4" spans="1:20" ht="39.75" customHeight="1">
      <c r="A4" s="1264" t="s">
        <v>2025</v>
      </c>
      <c r="B4" s="1264"/>
      <c r="C4" s="1264"/>
      <c r="D4" s="1264"/>
      <c r="E4" s="1264"/>
      <c r="F4" s="1264"/>
      <c r="G4" s="1264"/>
      <c r="H4" s="1264"/>
      <c r="I4" s="1264"/>
      <c r="J4" s="1264"/>
      <c r="K4" s="1264"/>
      <c r="L4" s="1264"/>
      <c r="M4" s="1264"/>
      <c r="N4" s="1264"/>
      <c r="O4" s="1264"/>
      <c r="P4" s="1264"/>
      <c r="Q4" s="1264"/>
      <c r="R4" s="1264"/>
      <c r="S4" s="1264"/>
      <c r="T4" s="1264"/>
    </row>
    <row r="5" spans="1:28" ht="12.75">
      <c r="A5" s="1017" t="s">
        <v>1367</v>
      </c>
      <c r="B5" s="1017"/>
      <c r="C5" s="1017"/>
      <c r="D5" s="1018"/>
      <c r="E5" s="1019">
        <f>+E6/365*12</f>
        <v>12.032876712328768</v>
      </c>
      <c r="F5" s="1019">
        <v>12</v>
      </c>
      <c r="G5" s="1019">
        <v>12</v>
      </c>
      <c r="H5" s="1019">
        <v>12</v>
      </c>
      <c r="I5" s="1019">
        <v>12</v>
      </c>
      <c r="J5" s="1019">
        <v>12</v>
      </c>
      <c r="K5" s="1019">
        <v>12</v>
      </c>
      <c r="L5" s="1019">
        <v>12</v>
      </c>
      <c r="M5" s="1019">
        <v>12</v>
      </c>
      <c r="N5" s="1019">
        <v>12</v>
      </c>
      <c r="O5" s="1019">
        <v>12</v>
      </c>
      <c r="P5" s="1019">
        <v>12</v>
      </c>
      <c r="Q5" s="1019">
        <v>12</v>
      </c>
      <c r="R5" s="1019">
        <v>12</v>
      </c>
      <c r="S5" s="1019">
        <v>12</v>
      </c>
      <c r="T5" s="1020"/>
      <c r="V5" s="209"/>
      <c r="W5" s="327"/>
      <c r="X5" s="327"/>
      <c r="Y5" s="327"/>
      <c r="Z5" s="327"/>
      <c r="AA5" s="327"/>
      <c r="AB5" s="209"/>
    </row>
    <row r="6" spans="1:28" ht="13.5" thickBot="1">
      <c r="A6" s="1265" t="s">
        <v>1366</v>
      </c>
      <c r="B6" s="1266"/>
      <c r="C6" s="1021"/>
      <c r="D6" s="1018"/>
      <c r="E6" s="1022">
        <v>366</v>
      </c>
      <c r="F6" s="1022">
        <v>365</v>
      </c>
      <c r="G6" s="1022">
        <v>365</v>
      </c>
      <c r="H6" s="1022">
        <v>365</v>
      </c>
      <c r="I6" s="1022">
        <v>365</v>
      </c>
      <c r="J6" s="1022">
        <v>366</v>
      </c>
      <c r="K6" s="1022">
        <v>365</v>
      </c>
      <c r="L6" s="1022">
        <v>365</v>
      </c>
      <c r="M6" s="1022">
        <v>365</v>
      </c>
      <c r="N6" s="1022">
        <v>366</v>
      </c>
      <c r="O6" s="1022">
        <v>365</v>
      </c>
      <c r="P6" s="1022">
        <v>365</v>
      </c>
      <c r="Q6" s="1022">
        <v>365</v>
      </c>
      <c r="R6" s="1022">
        <v>365</v>
      </c>
      <c r="S6" s="1022">
        <v>365</v>
      </c>
      <c r="T6" s="1017"/>
      <c r="V6" s="209"/>
      <c r="W6" s="235"/>
      <c r="X6" s="235"/>
      <c r="Y6" s="235"/>
      <c r="Z6" s="235"/>
      <c r="AA6" s="235"/>
      <c r="AB6" s="209"/>
    </row>
    <row r="7" spans="1:28" ht="12.75">
      <c r="A7" s="1267" t="s">
        <v>1365</v>
      </c>
      <c r="B7" s="1268"/>
      <c r="C7" s="1023"/>
      <c r="D7" s="1018"/>
      <c r="E7" s="1024" t="s">
        <v>1306</v>
      </c>
      <c r="F7" s="1024" t="s">
        <v>1305</v>
      </c>
      <c r="G7" s="1024" t="s">
        <v>1364</v>
      </c>
      <c r="H7" s="1024" t="s">
        <v>1363</v>
      </c>
      <c r="I7" s="1024" t="s">
        <v>1363</v>
      </c>
      <c r="J7" s="1024" t="s">
        <v>1362</v>
      </c>
      <c r="K7" s="1024" t="s">
        <v>1361</v>
      </c>
      <c r="L7" s="1024" t="s">
        <v>1360</v>
      </c>
      <c r="M7" s="1024" t="s">
        <v>1359</v>
      </c>
      <c r="N7" s="1024" t="s">
        <v>1358</v>
      </c>
      <c r="O7" s="1024" t="s">
        <v>1357</v>
      </c>
      <c r="P7" s="1024" t="s">
        <v>1356</v>
      </c>
      <c r="Q7" s="1024" t="s">
        <v>1911</v>
      </c>
      <c r="R7" s="1024" t="s">
        <v>1912</v>
      </c>
      <c r="S7" s="1024" t="s">
        <v>1913</v>
      </c>
      <c r="T7" s="1017"/>
      <c r="V7" s="209"/>
      <c r="W7" s="323"/>
      <c r="X7" s="323"/>
      <c r="Y7" s="323"/>
      <c r="Z7" s="323"/>
      <c r="AA7" s="323"/>
      <c r="AB7" s="209"/>
    </row>
    <row r="8" spans="1:28" ht="12.75">
      <c r="A8" s="1017" t="s">
        <v>1355</v>
      </c>
      <c r="B8" s="1017"/>
      <c r="C8" s="1025"/>
      <c r="D8" s="1018"/>
      <c r="E8" s="1022"/>
      <c r="F8" s="1022"/>
      <c r="G8" s="1022"/>
      <c r="H8" s="1022"/>
      <c r="I8" s="1022"/>
      <c r="J8" s="1022"/>
      <c r="K8" s="1022"/>
      <c r="L8" s="1022"/>
      <c r="M8" s="1022"/>
      <c r="N8" s="1022"/>
      <c r="O8" s="1022"/>
      <c r="P8" s="1022"/>
      <c r="Q8" s="1022"/>
      <c r="R8" s="1022"/>
      <c r="S8" s="1022"/>
      <c r="T8" s="1017"/>
      <c r="V8" s="209"/>
      <c r="W8" s="235"/>
      <c r="X8" s="235"/>
      <c r="Y8" s="235"/>
      <c r="Z8" s="235"/>
      <c r="AA8" s="235"/>
      <c r="AB8" s="209"/>
    </row>
    <row r="9" spans="1:28" ht="12.75">
      <c r="A9" s="1017" t="s">
        <v>1354</v>
      </c>
      <c r="B9" s="1017"/>
      <c r="C9" s="1025" t="s">
        <v>1353</v>
      </c>
      <c r="D9" s="1018"/>
      <c r="E9" s="1022">
        <v>32.5</v>
      </c>
      <c r="F9" s="1022">
        <v>32.5</v>
      </c>
      <c r="G9" s="1022">
        <v>32.5</v>
      </c>
      <c r="H9" s="1022">
        <v>32.5</v>
      </c>
      <c r="I9" s="1026">
        <v>32.5</v>
      </c>
      <c r="J9" s="1026">
        <v>32.5</v>
      </c>
      <c r="K9" s="1026">
        <v>32.5</v>
      </c>
      <c r="L9" s="1026">
        <v>32.5</v>
      </c>
      <c r="M9" s="1026">
        <v>32.5</v>
      </c>
      <c r="N9" s="1026">
        <v>32.5</v>
      </c>
      <c r="O9" s="1026">
        <v>32.5</v>
      </c>
      <c r="P9" s="1026">
        <v>32.5</v>
      </c>
      <c r="Q9" s="1026">
        <v>32.5</v>
      </c>
      <c r="R9" s="1026">
        <v>32.5</v>
      </c>
      <c r="S9" s="1026">
        <v>32.5</v>
      </c>
      <c r="T9" s="1017"/>
      <c r="V9" s="209"/>
      <c r="W9" s="257"/>
      <c r="X9" s="257"/>
      <c r="Y9" s="257"/>
      <c r="Z9" s="257"/>
      <c r="AA9" s="257"/>
      <c r="AB9" s="304"/>
    </row>
    <row r="10" spans="1:28" ht="12.75">
      <c r="A10" s="1017" t="s">
        <v>1352</v>
      </c>
      <c r="B10" s="1017"/>
      <c r="C10" s="1025" t="s">
        <v>1349</v>
      </c>
      <c r="D10" s="1018"/>
      <c r="E10" s="1027">
        <f>+E9*E6*24/1000*E11/100</f>
        <v>242.65800000000002</v>
      </c>
      <c r="F10" s="1027">
        <f>'[2]2G'!I33</f>
        <v>230.76</v>
      </c>
      <c r="G10" s="1027">
        <v>256.97</v>
      </c>
      <c r="H10" s="1027">
        <v>257</v>
      </c>
      <c r="I10" s="1028">
        <v>102.137</v>
      </c>
      <c r="J10" s="1028">
        <v>227.01</v>
      </c>
      <c r="K10" s="1028">
        <v>242.66</v>
      </c>
      <c r="L10" s="1028">
        <v>242</v>
      </c>
      <c r="M10" s="1028">
        <v>222.06</v>
      </c>
      <c r="N10" s="1028">
        <v>242</v>
      </c>
      <c r="O10" s="1028">
        <v>242</v>
      </c>
      <c r="P10" s="1028">
        <v>242</v>
      </c>
      <c r="Q10" s="1028">
        <v>242</v>
      </c>
      <c r="R10" s="1028">
        <v>242</v>
      </c>
      <c r="S10" s="1028">
        <v>242</v>
      </c>
      <c r="T10" s="1017"/>
      <c r="V10" s="209"/>
      <c r="W10" s="317"/>
      <c r="X10" s="317"/>
      <c r="Y10" s="317"/>
      <c r="Z10" s="317"/>
      <c r="AA10" s="317"/>
      <c r="AB10" s="304"/>
    </row>
    <row r="11" spans="1:28" ht="25.5">
      <c r="A11" s="1017" t="s">
        <v>1219</v>
      </c>
      <c r="B11" s="1017"/>
      <c r="C11" s="1025" t="s">
        <v>1284</v>
      </c>
      <c r="D11" s="1018"/>
      <c r="E11" s="1022">
        <v>85</v>
      </c>
      <c r="F11" s="1022">
        <v>85</v>
      </c>
      <c r="G11" s="1022">
        <v>85</v>
      </c>
      <c r="H11" s="1022">
        <v>85</v>
      </c>
      <c r="I11" s="1026">
        <v>85</v>
      </c>
      <c r="J11" s="1026">
        <v>85</v>
      </c>
      <c r="K11" s="1026">
        <v>85</v>
      </c>
      <c r="L11" s="1026">
        <v>85</v>
      </c>
      <c r="M11" s="1026">
        <v>78</v>
      </c>
      <c r="N11" s="1026">
        <v>85</v>
      </c>
      <c r="O11" s="1026">
        <v>85</v>
      </c>
      <c r="P11" s="1026">
        <v>85</v>
      </c>
      <c r="Q11" s="1026">
        <v>85</v>
      </c>
      <c r="R11" s="1026">
        <v>85</v>
      </c>
      <c r="S11" s="1026">
        <v>85</v>
      </c>
      <c r="T11" s="1029" t="s">
        <v>2020</v>
      </c>
      <c r="V11" s="209"/>
      <c r="W11" s="257"/>
      <c r="X11" s="257"/>
      <c r="Y11" s="257"/>
      <c r="Z11" s="257"/>
      <c r="AA11" s="257"/>
      <c r="AB11" s="304"/>
    </row>
    <row r="12" spans="1:28" ht="51" customHeight="1">
      <c r="A12" s="1017" t="s">
        <v>1351</v>
      </c>
      <c r="B12" s="1017"/>
      <c r="C12" s="1025" t="s">
        <v>1284</v>
      </c>
      <c r="D12" s="1018"/>
      <c r="E12" s="1030">
        <v>5.5</v>
      </c>
      <c r="F12" s="1030">
        <v>5.5</v>
      </c>
      <c r="G12" s="1030">
        <v>5.502</v>
      </c>
      <c r="H12" s="1030">
        <v>6</v>
      </c>
      <c r="I12" s="1031">
        <v>5</v>
      </c>
      <c r="J12" s="1031">
        <v>5</v>
      </c>
      <c r="K12" s="1031">
        <v>5</v>
      </c>
      <c r="L12" s="1031">
        <v>5</v>
      </c>
      <c r="M12" s="1031">
        <v>5</v>
      </c>
      <c r="N12" s="1031">
        <v>5</v>
      </c>
      <c r="O12" s="1031">
        <v>5</v>
      </c>
      <c r="P12" s="1031">
        <v>5</v>
      </c>
      <c r="Q12" s="1031">
        <v>5</v>
      </c>
      <c r="R12" s="1031">
        <v>3.3</v>
      </c>
      <c r="S12" s="1031">
        <v>5</v>
      </c>
      <c r="T12" s="1029"/>
      <c r="V12" s="209"/>
      <c r="W12" s="252"/>
      <c r="X12" s="252"/>
      <c r="Y12" s="252"/>
      <c r="Z12" s="252"/>
      <c r="AA12" s="252"/>
      <c r="AB12" s="304"/>
    </row>
    <row r="13" spans="1:28" ht="12.75">
      <c r="A13" s="1017" t="s">
        <v>1350</v>
      </c>
      <c r="B13" s="1017"/>
      <c r="C13" s="1025" t="s">
        <v>1349</v>
      </c>
      <c r="D13" s="1018"/>
      <c r="E13" s="1032">
        <f>+E10*(1-E12/100)</f>
        <v>229.31181</v>
      </c>
      <c r="F13" s="1032">
        <f>+F10*(1-F12/100)</f>
        <v>218.0682</v>
      </c>
      <c r="G13" s="1032">
        <f>+G10*(1-G12/100)</f>
        <v>242.83151060000003</v>
      </c>
      <c r="H13" s="1032">
        <f>+H10*(1-H12/100)</f>
        <v>241.57999999999998</v>
      </c>
      <c r="I13" s="1033">
        <v>95.346</v>
      </c>
      <c r="J13" s="1033">
        <f aca="true" t="shared" si="0" ref="J13:P13">+J10*(1-J12/100)</f>
        <v>215.65949999999998</v>
      </c>
      <c r="K13" s="1033">
        <f t="shared" si="0"/>
        <v>230.527</v>
      </c>
      <c r="L13" s="1033">
        <f t="shared" si="0"/>
        <v>229.89999999999998</v>
      </c>
      <c r="M13" s="1033">
        <f t="shared" si="0"/>
        <v>210.957</v>
      </c>
      <c r="N13" s="1033">
        <f t="shared" si="0"/>
        <v>229.89999999999998</v>
      </c>
      <c r="O13" s="1033">
        <f t="shared" si="0"/>
        <v>229.89999999999998</v>
      </c>
      <c r="P13" s="1033">
        <f t="shared" si="0"/>
        <v>229.89999999999998</v>
      </c>
      <c r="Q13" s="1033">
        <f>+Q10*(1-Q12/100)</f>
        <v>229.89999999999998</v>
      </c>
      <c r="R13" s="1033">
        <f>+R10*(1-R12/100)</f>
        <v>234.01399999999998</v>
      </c>
      <c r="S13" s="1033">
        <f>+S10*(1-S12/100)</f>
        <v>229.89999999999998</v>
      </c>
      <c r="T13" s="1017"/>
      <c r="V13" s="209"/>
      <c r="W13" s="317"/>
      <c r="X13" s="317"/>
      <c r="Y13" s="317"/>
      <c r="Z13" s="317"/>
      <c r="AA13" s="317"/>
      <c r="AB13" s="304"/>
    </row>
    <row r="14" spans="1:28" ht="12.75">
      <c r="A14" s="1017" t="s">
        <v>1348</v>
      </c>
      <c r="B14" s="1017"/>
      <c r="C14" s="1025" t="s">
        <v>1347</v>
      </c>
      <c r="D14" s="1018"/>
      <c r="E14" s="1032">
        <f aca="true" t="shared" si="1" ref="E14:J14">+E17/E16</f>
        <v>0.24091257684107398</v>
      </c>
      <c r="F14" s="1032">
        <f t="shared" si="1"/>
        <v>0.2470576789627387</v>
      </c>
      <c r="G14" s="1032">
        <f t="shared" si="1"/>
        <v>0.2568321234747778</v>
      </c>
      <c r="H14" s="1032">
        <f t="shared" si="1"/>
        <v>0.2613760764285623</v>
      </c>
      <c r="I14" s="1033">
        <f t="shared" si="1"/>
        <v>0.2615706111467353</v>
      </c>
      <c r="J14" s="1033">
        <f t="shared" si="1"/>
        <v>0.2613761861203911</v>
      </c>
      <c r="K14" s="1033">
        <v>0.262</v>
      </c>
      <c r="L14" s="1033">
        <v>0.263</v>
      </c>
      <c r="M14" s="1033">
        <f aca="true" t="shared" si="2" ref="M14:S14">+M17/M16</f>
        <v>0.26567198646538787</v>
      </c>
      <c r="N14" s="1033">
        <f t="shared" si="2"/>
        <v>0.25023634451971954</v>
      </c>
      <c r="O14" s="1033">
        <f t="shared" si="2"/>
        <v>0.25023642897673537</v>
      </c>
      <c r="P14" s="1033">
        <f t="shared" si="2"/>
        <v>0.24364229933993117</v>
      </c>
      <c r="Q14" s="1033">
        <f t="shared" si="2"/>
        <v>0.24364237056844362</v>
      </c>
      <c r="R14" s="1033">
        <f t="shared" si="2"/>
        <v>0.2442117387765047</v>
      </c>
      <c r="S14" s="1033">
        <f t="shared" si="2"/>
        <v>0.24300309952933072</v>
      </c>
      <c r="T14" s="1017" t="s">
        <v>1346</v>
      </c>
      <c r="V14" s="209"/>
      <c r="W14" s="314"/>
      <c r="X14" s="314"/>
      <c r="Y14" s="314"/>
      <c r="Z14" s="314"/>
      <c r="AA14" s="314"/>
      <c r="AB14" s="304"/>
    </row>
    <row r="15" spans="1:28" ht="12.75">
      <c r="A15" s="1017" t="s">
        <v>1345</v>
      </c>
      <c r="B15" s="1017"/>
      <c r="C15" s="1025" t="s">
        <v>1344</v>
      </c>
      <c r="D15" s="1018"/>
      <c r="E15" s="1034">
        <v>8516.55</v>
      </c>
      <c r="F15" s="1034">
        <f>'[2]HR 12-13 (2)'!B50</f>
        <v>9664.69292810229</v>
      </c>
      <c r="G15" s="1034">
        <f>'[2]HR 13-14 '!D50</f>
        <v>10304.313402764148</v>
      </c>
      <c r="H15" s="1034">
        <f>'[2]Fuel cost'!G28</f>
        <v>10652.39688151332</v>
      </c>
      <c r="I15" s="1035">
        <v>10652.4</v>
      </c>
      <c r="J15" s="1036">
        <v>10376.17</v>
      </c>
      <c r="K15" s="1036">
        <v>11684.55</v>
      </c>
      <c r="L15" s="1037">
        <v>7663.72</v>
      </c>
      <c r="M15" s="1037">
        <f>'[1]gas cost (2)'!B665</f>
        <v>10065.199634079303</v>
      </c>
      <c r="N15" s="1037">
        <f>'[1]gas cost (2)'!B665</f>
        <v>10065.199634079303</v>
      </c>
      <c r="O15" s="1037">
        <f>'[1]gas cost (2)'!B723</f>
        <v>11900.215042980812</v>
      </c>
      <c r="P15" s="1037">
        <f>'HR _2021-22'!D50</f>
        <v>7710.681890059246</v>
      </c>
      <c r="Q15" s="1037">
        <v>26324</v>
      </c>
      <c r="R15" s="1037">
        <v>31342</v>
      </c>
      <c r="S15" s="1037">
        <v>29119</v>
      </c>
      <c r="T15" s="1269" t="s">
        <v>2021</v>
      </c>
      <c r="V15" s="209"/>
      <c r="W15" s="252"/>
      <c r="X15" s="252"/>
      <c r="Y15" s="252"/>
      <c r="Z15" s="252"/>
      <c r="AA15" s="252"/>
      <c r="AB15" s="304"/>
    </row>
    <row r="16" spans="1:28" ht="27" customHeight="1">
      <c r="A16" s="1017" t="s">
        <v>1342</v>
      </c>
      <c r="B16" s="1017"/>
      <c r="C16" s="1025" t="s">
        <v>1341</v>
      </c>
      <c r="D16" s="1018"/>
      <c r="E16" s="1030">
        <v>9962.12</v>
      </c>
      <c r="F16" s="1030">
        <f>'[2]HR 12-13 (2)'!K44</f>
        <v>10017.903553498858</v>
      </c>
      <c r="G16" s="1030">
        <f>'[2]HR 13-14 '!M44</f>
        <v>10123.344248467163</v>
      </c>
      <c r="H16" s="1030">
        <f>'[2]HR 13-14 '!M44</f>
        <v>10123.344248467163</v>
      </c>
      <c r="I16" s="1038">
        <f>'[2]HR 14-15'!M44</f>
        <v>10115.81533720412</v>
      </c>
      <c r="J16" s="1038">
        <v>10123.34</v>
      </c>
      <c r="K16" s="1038">
        <v>10097.64</v>
      </c>
      <c r="L16" s="1039">
        <v>9959.65</v>
      </c>
      <c r="M16" s="1039">
        <v>9959.65</v>
      </c>
      <c r="N16" s="1039">
        <f>'[1]2G (2)'!J40</f>
        <v>10574.003568820059</v>
      </c>
      <c r="O16" s="1039">
        <v>10574</v>
      </c>
      <c r="P16" s="1039">
        <f>'HR _2021-22'!M44</f>
        <v>10860.183174959637</v>
      </c>
      <c r="Q16" s="1039">
        <v>10860.18</v>
      </c>
      <c r="R16" s="1039">
        <v>10834.86</v>
      </c>
      <c r="S16" s="1039">
        <v>10888.75</v>
      </c>
      <c r="T16" s="1270"/>
      <c r="V16" s="209"/>
      <c r="W16" s="252"/>
      <c r="X16" s="252"/>
      <c r="Y16" s="252"/>
      <c r="Z16" s="252"/>
      <c r="AA16" s="252"/>
      <c r="AB16" s="304"/>
    </row>
    <row r="17" spans="1:28" ht="25.5">
      <c r="A17" s="1017" t="s">
        <v>1340</v>
      </c>
      <c r="B17" s="1017"/>
      <c r="C17" s="1025" t="s">
        <v>1339</v>
      </c>
      <c r="D17" s="1018"/>
      <c r="E17" s="1034">
        <v>2400</v>
      </c>
      <c r="F17" s="1034">
        <v>2475</v>
      </c>
      <c r="G17" s="1034">
        <v>2600</v>
      </c>
      <c r="H17" s="1034">
        <v>2646</v>
      </c>
      <c r="I17" s="1040">
        <v>2646</v>
      </c>
      <c r="J17" s="1040">
        <v>2646</v>
      </c>
      <c r="K17" s="1040">
        <v>2646</v>
      </c>
      <c r="L17" s="1040">
        <v>2646</v>
      </c>
      <c r="M17" s="1040">
        <v>2646</v>
      </c>
      <c r="N17" s="1040">
        <v>2646</v>
      </c>
      <c r="O17" s="1040">
        <v>2646</v>
      </c>
      <c r="P17" s="1040">
        <v>2646</v>
      </c>
      <c r="Q17" s="1040">
        <v>2646</v>
      </c>
      <c r="R17" s="1040">
        <v>2646</v>
      </c>
      <c r="S17" s="1040">
        <v>2646</v>
      </c>
      <c r="T17" s="1029" t="s">
        <v>1338</v>
      </c>
      <c r="V17" s="209"/>
      <c r="W17" s="252"/>
      <c r="X17" s="252"/>
      <c r="Y17" s="252"/>
      <c r="Z17" s="252"/>
      <c r="AA17" s="252"/>
      <c r="AB17" s="304"/>
    </row>
    <row r="18" spans="1:28" ht="12.75">
      <c r="A18" s="1017"/>
      <c r="B18" s="1017"/>
      <c r="C18" s="1025"/>
      <c r="D18" s="1018"/>
      <c r="E18" s="1022"/>
      <c r="F18" s="1022"/>
      <c r="G18" s="1022"/>
      <c r="H18" s="1022"/>
      <c r="I18" s="1022"/>
      <c r="J18" s="1022"/>
      <c r="K18" s="1022"/>
      <c r="L18" s="1022"/>
      <c r="M18" s="1022"/>
      <c r="N18" s="1022"/>
      <c r="O18" s="1022"/>
      <c r="P18" s="1022"/>
      <c r="Q18" s="1022"/>
      <c r="R18" s="1022"/>
      <c r="S18" s="1022"/>
      <c r="T18" s="1017"/>
      <c r="V18" s="209"/>
      <c r="W18" s="252"/>
      <c r="X18" s="252"/>
      <c r="Y18" s="252"/>
      <c r="Z18" s="257"/>
      <c r="AA18" s="257"/>
      <c r="AB18" s="304"/>
    </row>
    <row r="19" spans="1:28" ht="51">
      <c r="A19" s="1017" t="s">
        <v>1337</v>
      </c>
      <c r="B19" s="1017"/>
      <c r="C19" s="1025" t="s">
        <v>1300</v>
      </c>
      <c r="D19" s="1018"/>
      <c r="E19" s="1030">
        <v>146.45</v>
      </c>
      <c r="F19" s="1030">
        <f>+F60</f>
        <v>146.45</v>
      </c>
      <c r="G19" s="1030">
        <v>146.45</v>
      </c>
      <c r="H19" s="1030">
        <f>+H60</f>
        <v>148.10999999999999</v>
      </c>
      <c r="I19" s="1031">
        <v>148.11</v>
      </c>
      <c r="J19" s="1031">
        <v>150.09</v>
      </c>
      <c r="K19" s="1031">
        <v>150.88</v>
      </c>
      <c r="L19" s="1031">
        <v>150.92</v>
      </c>
      <c r="M19" s="1031">
        <f>+M60</f>
        <v>156.8045</v>
      </c>
      <c r="N19" s="1031">
        <f>+N60</f>
        <v>165.85</v>
      </c>
      <c r="O19" s="1031">
        <v>164.44</v>
      </c>
      <c r="P19" s="1031">
        <v>164.44</v>
      </c>
      <c r="Q19" s="1031">
        <v>164.44</v>
      </c>
      <c r="R19" s="1031">
        <v>164.44</v>
      </c>
      <c r="S19" s="1031">
        <v>164.44</v>
      </c>
      <c r="T19" s="1029" t="s">
        <v>2022</v>
      </c>
      <c r="V19" s="209"/>
      <c r="W19" s="252"/>
      <c r="X19" s="252"/>
      <c r="Y19" s="252"/>
      <c r="Z19" s="252"/>
      <c r="AA19" s="252"/>
      <c r="AB19" s="304"/>
    </row>
    <row r="20" spans="1:28" ht="12.75">
      <c r="A20" s="1017" t="s">
        <v>1335</v>
      </c>
      <c r="B20" s="1017"/>
      <c r="C20" s="1025" t="s">
        <v>1284</v>
      </c>
      <c r="D20" s="1018"/>
      <c r="E20" s="1041">
        <v>70</v>
      </c>
      <c r="F20" s="1041">
        <v>70</v>
      </c>
      <c r="G20" s="1041">
        <v>70</v>
      </c>
      <c r="H20" s="1041">
        <v>70</v>
      </c>
      <c r="I20" s="1042">
        <v>70</v>
      </c>
      <c r="J20" s="1042">
        <v>70</v>
      </c>
      <c r="K20" s="1042">
        <v>70</v>
      </c>
      <c r="L20" s="1042">
        <v>70</v>
      </c>
      <c r="M20" s="1042">
        <v>70</v>
      </c>
      <c r="N20" s="1042">
        <v>70</v>
      </c>
      <c r="O20" s="1042">
        <v>70</v>
      </c>
      <c r="P20" s="1042">
        <v>70</v>
      </c>
      <c r="Q20" s="1042">
        <v>70</v>
      </c>
      <c r="R20" s="1042">
        <v>70</v>
      </c>
      <c r="S20" s="1042">
        <v>70</v>
      </c>
      <c r="T20" s="1017" t="s">
        <v>1334</v>
      </c>
      <c r="V20" s="209"/>
      <c r="W20" s="252"/>
      <c r="X20" s="252"/>
      <c r="Y20" s="252"/>
      <c r="Z20" s="252"/>
      <c r="AA20" s="252"/>
      <c r="AB20" s="304"/>
    </row>
    <row r="21" spans="1:28" ht="12.75">
      <c r="A21" s="1017" t="s">
        <v>1333</v>
      </c>
      <c r="B21" s="1017"/>
      <c r="C21" s="1025" t="s">
        <v>1284</v>
      </c>
      <c r="D21" s="1018"/>
      <c r="E21" s="1041">
        <v>30</v>
      </c>
      <c r="F21" s="1041">
        <v>30</v>
      </c>
      <c r="G21" s="1041">
        <v>30</v>
      </c>
      <c r="H21" s="1041">
        <v>30</v>
      </c>
      <c r="I21" s="1042">
        <v>30</v>
      </c>
      <c r="J21" s="1042">
        <v>30</v>
      </c>
      <c r="K21" s="1042">
        <v>30</v>
      </c>
      <c r="L21" s="1042">
        <v>30</v>
      </c>
      <c r="M21" s="1042">
        <v>30</v>
      </c>
      <c r="N21" s="1042">
        <v>30</v>
      </c>
      <c r="O21" s="1042">
        <v>30</v>
      </c>
      <c r="P21" s="1042">
        <v>30</v>
      </c>
      <c r="Q21" s="1042">
        <v>30</v>
      </c>
      <c r="R21" s="1042">
        <v>30</v>
      </c>
      <c r="S21" s="1042">
        <v>30</v>
      </c>
      <c r="T21" s="1017" t="s">
        <v>1334</v>
      </c>
      <c r="V21" s="209"/>
      <c r="W21" s="252"/>
      <c r="X21" s="252"/>
      <c r="Y21" s="252"/>
      <c r="Z21" s="252"/>
      <c r="AA21" s="252"/>
      <c r="AB21" s="304"/>
    </row>
    <row r="22" spans="1:28" ht="12.75">
      <c r="A22" s="1017" t="s">
        <v>1333</v>
      </c>
      <c r="B22" s="1017"/>
      <c r="C22" s="1025" t="s">
        <v>1300</v>
      </c>
      <c r="D22" s="1018"/>
      <c r="E22" s="1030">
        <f>+E19*E21/100</f>
        <v>43.935</v>
      </c>
      <c r="F22" s="1030">
        <f>+F19*F21/100</f>
        <v>43.935</v>
      </c>
      <c r="G22" s="1030">
        <f>+G19*G21/100</f>
        <v>43.935</v>
      </c>
      <c r="H22" s="1030">
        <f>+H19*H21/100</f>
        <v>44.43299999999999</v>
      </c>
      <c r="I22" s="1038">
        <f>+I19*I21/100</f>
        <v>44.433</v>
      </c>
      <c r="J22" s="1031">
        <v>45.03</v>
      </c>
      <c r="K22" s="1031">
        <v>45.26</v>
      </c>
      <c r="L22" s="1031">
        <v>45.276</v>
      </c>
      <c r="M22" s="1031">
        <f aca="true" t="shared" si="3" ref="M22:S22">M19*M21/100</f>
        <v>47.041349999999994</v>
      </c>
      <c r="N22" s="1031">
        <f t="shared" si="3"/>
        <v>49.755</v>
      </c>
      <c r="O22" s="1031">
        <f t="shared" si="3"/>
        <v>49.332</v>
      </c>
      <c r="P22" s="1031">
        <f t="shared" si="3"/>
        <v>49.332</v>
      </c>
      <c r="Q22" s="1031">
        <f t="shared" si="3"/>
        <v>49.332</v>
      </c>
      <c r="R22" s="1031">
        <f t="shared" si="3"/>
        <v>49.332</v>
      </c>
      <c r="S22" s="1031">
        <f t="shared" si="3"/>
        <v>49.332</v>
      </c>
      <c r="T22" s="1017"/>
      <c r="V22" s="209"/>
      <c r="W22" s="252"/>
      <c r="X22" s="252"/>
      <c r="Y22" s="252"/>
      <c r="Z22" s="252"/>
      <c r="AA22" s="252"/>
      <c r="AB22" s="304"/>
    </row>
    <row r="23" spans="1:28" ht="12.75">
      <c r="A23" s="1017" t="s">
        <v>1332</v>
      </c>
      <c r="B23" s="1017"/>
      <c r="C23" s="1025" t="s">
        <v>1300</v>
      </c>
      <c r="D23" s="1018"/>
      <c r="E23" s="1030">
        <f>+E19-E22</f>
        <v>102.51499999999999</v>
      </c>
      <c r="F23" s="1030">
        <f>+F19-F22</f>
        <v>102.51499999999999</v>
      </c>
      <c r="G23" s="1030">
        <f>+G19-G22</f>
        <v>102.51499999999999</v>
      </c>
      <c r="H23" s="1030">
        <f>+H19-H22</f>
        <v>103.67699999999999</v>
      </c>
      <c r="I23" s="1031">
        <f>+I19-I22</f>
        <v>103.67700000000002</v>
      </c>
      <c r="J23" s="1031">
        <v>105.06</v>
      </c>
      <c r="K23" s="1031">
        <v>105.62</v>
      </c>
      <c r="L23" s="1031">
        <f aca="true" t="shared" si="4" ref="L23:S23">L19-L22</f>
        <v>105.64399999999998</v>
      </c>
      <c r="M23" s="1031">
        <f t="shared" si="4"/>
        <v>109.76315</v>
      </c>
      <c r="N23" s="1031">
        <f t="shared" si="4"/>
        <v>116.095</v>
      </c>
      <c r="O23" s="1031">
        <f t="shared" si="4"/>
        <v>115.108</v>
      </c>
      <c r="P23" s="1031">
        <f t="shared" si="4"/>
        <v>115.108</v>
      </c>
      <c r="Q23" s="1031">
        <f t="shared" si="4"/>
        <v>115.108</v>
      </c>
      <c r="R23" s="1031">
        <f t="shared" si="4"/>
        <v>115.108</v>
      </c>
      <c r="S23" s="1031">
        <f t="shared" si="4"/>
        <v>115.108</v>
      </c>
      <c r="T23" s="1017"/>
      <c r="V23" s="209"/>
      <c r="W23" s="252"/>
      <c r="X23" s="252"/>
      <c r="Y23" s="252"/>
      <c r="Z23" s="252"/>
      <c r="AA23" s="252"/>
      <c r="AB23" s="304"/>
    </row>
    <row r="24" spans="1:28" ht="12.75">
      <c r="A24" s="1017" t="s">
        <v>1331</v>
      </c>
      <c r="B24" s="1017"/>
      <c r="C24" s="1025" t="s">
        <v>1300</v>
      </c>
      <c r="D24" s="1018"/>
      <c r="E24" s="1030"/>
      <c r="F24" s="1030"/>
      <c r="G24" s="1030"/>
      <c r="H24" s="1030"/>
      <c r="I24" s="1030"/>
      <c r="J24" s="1030"/>
      <c r="K24" s="1030"/>
      <c r="L24" s="1030"/>
      <c r="M24" s="1030"/>
      <c r="N24" s="1030"/>
      <c r="O24" s="1030"/>
      <c r="P24" s="1030"/>
      <c r="Q24" s="1030"/>
      <c r="R24" s="1030"/>
      <c r="S24" s="1030"/>
      <c r="T24" s="1017"/>
      <c r="V24" s="209"/>
      <c r="W24" s="252"/>
      <c r="X24" s="252"/>
      <c r="Y24" s="252"/>
      <c r="Z24" s="252"/>
      <c r="AA24" s="252"/>
      <c r="AB24" s="304"/>
    </row>
    <row r="25" spans="1:28" ht="12.75">
      <c r="A25" s="1017" t="s">
        <v>1330</v>
      </c>
      <c r="B25" s="1017"/>
      <c r="C25" s="1025" t="s">
        <v>1284</v>
      </c>
      <c r="D25" s="1018"/>
      <c r="E25" s="1030">
        <v>5.03</v>
      </c>
      <c r="F25" s="1030">
        <f>+'[3]7G'!P49</f>
        <v>5.053750700662716</v>
      </c>
      <c r="G25" s="1030">
        <v>5.052</v>
      </c>
      <c r="H25" s="1030">
        <v>5.059</v>
      </c>
      <c r="I25" s="1031">
        <v>5.059</v>
      </c>
      <c r="J25" s="1031">
        <v>5.06</v>
      </c>
      <c r="K25" s="1031">
        <v>5.06</v>
      </c>
      <c r="L25" s="1031">
        <v>5.06</v>
      </c>
      <c r="M25" s="1031">
        <v>5.06</v>
      </c>
      <c r="N25" s="1031">
        <v>5.06</v>
      </c>
      <c r="O25" s="1031">
        <v>5.06</v>
      </c>
      <c r="P25" s="1031">
        <v>5.06</v>
      </c>
      <c r="Q25" s="1031">
        <v>5.06</v>
      </c>
      <c r="R25" s="1031">
        <v>5.06</v>
      </c>
      <c r="S25" s="1031">
        <v>5.06</v>
      </c>
      <c r="T25" s="1029"/>
      <c r="U25" s="90">
        <f>6.98/146.45</f>
        <v>0.04766131785592353</v>
      </c>
      <c r="V25" s="209"/>
      <c r="W25" s="304"/>
      <c r="X25" s="252"/>
      <c r="Y25" s="252"/>
      <c r="Z25" s="252"/>
      <c r="AA25" s="252"/>
      <c r="AB25" s="252"/>
    </row>
    <row r="26" spans="1:28" ht="12.75">
      <c r="A26" s="1017" t="s">
        <v>1329</v>
      </c>
      <c r="B26" s="1017"/>
      <c r="C26" s="1025" t="s">
        <v>1284</v>
      </c>
      <c r="D26" s="1018"/>
      <c r="E26" s="1043">
        <v>0.1125</v>
      </c>
      <c r="F26" s="1043">
        <v>0.1315</v>
      </c>
      <c r="G26" s="1043">
        <v>0.1336</v>
      </c>
      <c r="H26" s="1043">
        <v>0.1336</v>
      </c>
      <c r="I26" s="1044">
        <v>0.1336</v>
      </c>
      <c r="J26" s="1044">
        <v>0.1336</v>
      </c>
      <c r="K26" s="1044">
        <v>0.1336</v>
      </c>
      <c r="L26" s="1044">
        <v>0.1336</v>
      </c>
      <c r="M26" s="1044">
        <v>0.1336</v>
      </c>
      <c r="N26" s="1044">
        <v>0.1336</v>
      </c>
      <c r="O26" s="1044">
        <v>0.1336</v>
      </c>
      <c r="P26" s="1044">
        <v>0.1336</v>
      </c>
      <c r="Q26" s="1044">
        <v>0.1336</v>
      </c>
      <c r="R26" s="1044">
        <v>0.1336</v>
      </c>
      <c r="S26" s="1044">
        <v>0.1336</v>
      </c>
      <c r="T26" s="1029"/>
      <c r="V26" s="209"/>
      <c r="W26" s="304"/>
      <c r="X26" s="259"/>
      <c r="Y26" s="259"/>
      <c r="Z26" s="259"/>
      <c r="AA26" s="259"/>
      <c r="AB26" s="259"/>
    </row>
    <row r="27" spans="1:28" ht="12.75">
      <c r="A27" s="1017" t="s">
        <v>1321</v>
      </c>
      <c r="B27" s="1017"/>
      <c r="C27" s="1025" t="s">
        <v>1284</v>
      </c>
      <c r="D27" s="1018"/>
      <c r="E27" s="1032">
        <v>23.481</v>
      </c>
      <c r="F27" s="1032">
        <v>23.481</v>
      </c>
      <c r="G27" s="1032">
        <v>23.481</v>
      </c>
      <c r="H27" s="1032">
        <v>23.481</v>
      </c>
      <c r="I27" s="1033">
        <v>23.481</v>
      </c>
      <c r="J27" s="1033">
        <v>23.481</v>
      </c>
      <c r="K27" s="1033">
        <v>23.481</v>
      </c>
      <c r="L27" s="1033">
        <v>15.5</v>
      </c>
      <c r="M27" s="1033">
        <v>23.481</v>
      </c>
      <c r="N27" s="1033">
        <v>21.868</v>
      </c>
      <c r="O27" s="1033">
        <v>21.868</v>
      </c>
      <c r="P27" s="1033">
        <v>21.868</v>
      </c>
      <c r="Q27" s="1033">
        <v>21.868</v>
      </c>
      <c r="R27" s="1033">
        <v>20.713</v>
      </c>
      <c r="S27" s="1033">
        <v>20.713</v>
      </c>
      <c r="T27" s="1029"/>
      <c r="V27" s="209"/>
      <c r="W27" s="209"/>
      <c r="X27" s="240"/>
      <c r="Y27" s="240"/>
      <c r="Z27" s="240"/>
      <c r="AA27" s="240"/>
      <c r="AB27" s="240"/>
    </row>
    <row r="28" spans="1:28" ht="25.5">
      <c r="A28" s="1017" t="s">
        <v>1328</v>
      </c>
      <c r="B28" s="1017"/>
      <c r="C28" s="1025" t="s">
        <v>1284</v>
      </c>
      <c r="D28" s="1018"/>
      <c r="E28" s="1030">
        <v>12.25</v>
      </c>
      <c r="F28" s="1030">
        <v>14.75</v>
      </c>
      <c r="G28" s="1030">
        <v>14.45</v>
      </c>
      <c r="H28" s="1030">
        <v>14.75</v>
      </c>
      <c r="I28" s="1031">
        <v>13.5</v>
      </c>
      <c r="J28" s="1031">
        <v>13.5</v>
      </c>
      <c r="K28" s="1031">
        <v>13.5</v>
      </c>
      <c r="L28" s="1031">
        <v>12.75</v>
      </c>
      <c r="M28" s="1031">
        <v>12.15</v>
      </c>
      <c r="N28" s="1031">
        <v>12.55</v>
      </c>
      <c r="O28" s="1031">
        <v>12.05</v>
      </c>
      <c r="P28" s="1031">
        <v>12.05</v>
      </c>
      <c r="Q28" s="1031">
        <v>10.5</v>
      </c>
      <c r="R28" s="1031">
        <v>10.5</v>
      </c>
      <c r="S28" s="1031">
        <v>10.5</v>
      </c>
      <c r="T28" s="1029" t="s">
        <v>2019</v>
      </c>
      <c r="V28" s="209"/>
      <c r="W28" s="209"/>
      <c r="X28" s="240"/>
      <c r="Y28" s="240"/>
      <c r="Z28" s="240"/>
      <c r="AA28" s="240"/>
      <c r="AB28" s="240"/>
    </row>
    <row r="29" spans="1:28" ht="12.75">
      <c r="A29" s="1017"/>
      <c r="B29" s="1017"/>
      <c r="C29" s="1025"/>
      <c r="D29" s="1018"/>
      <c r="E29" s="1022"/>
      <c r="F29" s="1022"/>
      <c r="G29" s="1022"/>
      <c r="H29" s="1022"/>
      <c r="I29" s="1022"/>
      <c r="J29" s="1022"/>
      <c r="K29" s="1022"/>
      <c r="L29" s="1022"/>
      <c r="M29" s="1022"/>
      <c r="N29" s="1022"/>
      <c r="O29" s="1022"/>
      <c r="P29" s="1022"/>
      <c r="Q29" s="1022"/>
      <c r="R29" s="1022"/>
      <c r="S29" s="1022"/>
      <c r="T29" s="1029"/>
      <c r="V29" s="209"/>
      <c r="W29" s="209"/>
      <c r="X29" s="235"/>
      <c r="Y29" s="235"/>
      <c r="Z29" s="235"/>
      <c r="AA29" s="235"/>
      <c r="AB29" s="235"/>
    </row>
    <row r="30" spans="1:28" ht="12.75">
      <c r="A30" s="1045" t="s">
        <v>1326</v>
      </c>
      <c r="B30" s="1017"/>
      <c r="C30" s="1025"/>
      <c r="D30" s="1018"/>
      <c r="E30" s="1022"/>
      <c r="F30" s="1022"/>
      <c r="G30" s="1022"/>
      <c r="H30" s="1022"/>
      <c r="I30" s="1022"/>
      <c r="J30" s="1022"/>
      <c r="K30" s="1022"/>
      <c r="L30" s="1022"/>
      <c r="M30" s="1022"/>
      <c r="N30" s="1022"/>
      <c r="O30" s="1022"/>
      <c r="P30" s="1022"/>
      <c r="Q30" s="1022"/>
      <c r="R30" s="1022"/>
      <c r="S30" s="1022"/>
      <c r="T30" s="1029"/>
      <c r="V30" s="209"/>
      <c r="W30" s="209"/>
      <c r="X30" s="235"/>
      <c r="Y30" s="235"/>
      <c r="Z30" s="235"/>
      <c r="AA30" s="235"/>
      <c r="AB30" s="235"/>
    </row>
    <row r="31" spans="1:28" ht="12.75">
      <c r="A31" s="1017"/>
      <c r="B31" s="1017"/>
      <c r="C31" s="1025"/>
      <c r="D31" s="1018"/>
      <c r="E31" s="1022"/>
      <c r="F31" s="1022"/>
      <c r="G31" s="1022"/>
      <c r="H31" s="1022"/>
      <c r="I31" s="1022"/>
      <c r="J31" s="1022"/>
      <c r="K31" s="1022"/>
      <c r="L31" s="1022"/>
      <c r="M31" s="1022"/>
      <c r="N31" s="1022"/>
      <c r="O31" s="1022"/>
      <c r="P31" s="1022"/>
      <c r="Q31" s="1022"/>
      <c r="R31" s="1022"/>
      <c r="S31" s="1022"/>
      <c r="T31" s="1029"/>
      <c r="V31" s="209"/>
      <c r="W31" s="209"/>
      <c r="X31" s="235">
        <f>+((E14*E15*241.995)/10000)*$B45/E5</f>
        <v>4.1262933434267035</v>
      </c>
      <c r="Y31" s="235"/>
      <c r="Z31" s="235"/>
      <c r="AA31" s="235"/>
      <c r="AB31" s="235"/>
    </row>
    <row r="32" spans="1:28" ht="12.75">
      <c r="A32" s="1017" t="s">
        <v>1325</v>
      </c>
      <c r="B32" s="1017"/>
      <c r="C32" s="1025" t="s">
        <v>1324</v>
      </c>
      <c r="D32" s="1018"/>
      <c r="E32" s="1046">
        <f aca="true" t="shared" si="5" ref="E32:K32">ROUND((E14*E15)/(1-E12/100)/10,2)</f>
        <v>217.12</v>
      </c>
      <c r="F32" s="1046">
        <f t="shared" si="5"/>
        <v>252.67</v>
      </c>
      <c r="G32" s="1046">
        <f t="shared" si="5"/>
        <v>280.06</v>
      </c>
      <c r="H32" s="1046">
        <f t="shared" si="5"/>
        <v>296.2</v>
      </c>
      <c r="I32" s="1047">
        <f t="shared" si="5"/>
        <v>293.3</v>
      </c>
      <c r="J32" s="1047">
        <f t="shared" si="5"/>
        <v>285.48</v>
      </c>
      <c r="K32" s="1048">
        <f t="shared" si="5"/>
        <v>322.25</v>
      </c>
      <c r="L32" s="1048">
        <v>256.95</v>
      </c>
      <c r="M32" s="1048">
        <f aca="true" t="shared" si="6" ref="M32:S32">ROUND((M14*M15)/(1-M12/100)/10,2)</f>
        <v>281.48</v>
      </c>
      <c r="N32" s="1048">
        <f t="shared" si="6"/>
        <v>265.12</v>
      </c>
      <c r="O32" s="1048">
        <f t="shared" si="6"/>
        <v>313.46</v>
      </c>
      <c r="P32" s="1048">
        <f t="shared" si="6"/>
        <v>197.75</v>
      </c>
      <c r="Q32" s="1048">
        <f t="shared" si="6"/>
        <v>675.12</v>
      </c>
      <c r="R32" s="1048">
        <f t="shared" si="6"/>
        <v>791.53</v>
      </c>
      <c r="S32" s="1048">
        <f t="shared" si="6"/>
        <v>744.84</v>
      </c>
      <c r="T32" s="1029"/>
      <c r="V32" s="257"/>
      <c r="W32" s="209"/>
      <c r="X32" s="235"/>
      <c r="Y32" s="235"/>
      <c r="Z32" s="235"/>
      <c r="AA32" s="235"/>
      <c r="AB32" s="235"/>
    </row>
    <row r="33" spans="1:28" ht="12.75">
      <c r="A33" s="1017"/>
      <c r="B33" s="1017"/>
      <c r="C33" s="1025"/>
      <c r="D33" s="1018"/>
      <c r="E33" s="1022"/>
      <c r="F33" s="1022"/>
      <c r="G33" s="1022"/>
      <c r="H33" s="1022"/>
      <c r="I33" s="1022"/>
      <c r="J33" s="1022"/>
      <c r="K33" s="1022"/>
      <c r="L33" s="1022"/>
      <c r="M33" s="1022"/>
      <c r="N33" s="1022"/>
      <c r="O33" s="1022"/>
      <c r="P33" s="1022"/>
      <c r="Q33" s="1022"/>
      <c r="R33" s="1022"/>
      <c r="S33" s="1022"/>
      <c r="T33" s="1029"/>
      <c r="V33" s="209"/>
      <c r="W33" s="209"/>
      <c r="X33" s="235"/>
      <c r="Y33" s="235"/>
      <c r="Z33" s="235"/>
      <c r="AA33" s="235"/>
      <c r="AB33" s="235"/>
    </row>
    <row r="34" spans="1:28" ht="12.75">
      <c r="A34" s="1049" t="s">
        <v>1323</v>
      </c>
      <c r="B34" s="1017"/>
      <c r="C34" s="1025"/>
      <c r="D34" s="1018"/>
      <c r="E34" s="1022"/>
      <c r="F34" s="1022"/>
      <c r="G34" s="1022"/>
      <c r="H34" s="1022"/>
      <c r="I34" s="1022"/>
      <c r="J34" s="1022"/>
      <c r="K34" s="1022"/>
      <c r="L34" s="1022"/>
      <c r="M34" s="1022"/>
      <c r="N34" s="1022"/>
      <c r="O34" s="1022"/>
      <c r="P34" s="1022"/>
      <c r="Q34" s="1022"/>
      <c r="R34" s="1022"/>
      <c r="S34" s="1022"/>
      <c r="T34" s="1029"/>
      <c r="V34" s="209"/>
      <c r="W34" s="209"/>
      <c r="X34" s="235"/>
      <c r="Y34" s="235"/>
      <c r="Z34" s="235"/>
      <c r="AA34" s="235"/>
      <c r="AB34" s="235"/>
    </row>
    <row r="35" spans="1:28" ht="12.75">
      <c r="A35" s="1050" t="s">
        <v>1283</v>
      </c>
      <c r="B35" s="1017"/>
      <c r="C35" s="1025" t="s">
        <v>1300</v>
      </c>
      <c r="D35" s="1018"/>
      <c r="E35" s="1030">
        <v>6.97</v>
      </c>
      <c r="F35" s="1030">
        <v>5.02</v>
      </c>
      <c r="G35" s="1030">
        <v>0</v>
      </c>
      <c r="H35" s="1030">
        <v>0.33</v>
      </c>
      <c r="I35" s="1031">
        <v>0.27</v>
      </c>
      <c r="J35" s="1031">
        <v>0.33</v>
      </c>
      <c r="K35" s="1031">
        <v>0.38</v>
      </c>
      <c r="L35" s="1031">
        <v>0.37</v>
      </c>
      <c r="M35" s="1031">
        <f aca="true" t="shared" si="7" ref="M35:S35">M79</f>
        <v>1.88</v>
      </c>
      <c r="N35" s="1031">
        <f t="shared" si="7"/>
        <v>2.3513333333333293</v>
      </c>
      <c r="O35" s="1031">
        <f t="shared" si="7"/>
        <v>2.2438000000000047</v>
      </c>
      <c r="P35" s="1031">
        <v>2.24</v>
      </c>
      <c r="Q35" s="1031">
        <v>2.24</v>
      </c>
      <c r="R35" s="1031">
        <f t="shared" si="7"/>
        <v>2.244500000000002</v>
      </c>
      <c r="S35" s="1031">
        <f t="shared" si="7"/>
        <v>2.244499999999988</v>
      </c>
      <c r="T35" s="1029"/>
      <c r="V35" s="209"/>
      <c r="W35" s="209"/>
      <c r="X35" s="240"/>
      <c r="Y35" s="240"/>
      <c r="Z35" s="240"/>
      <c r="AA35" s="240"/>
      <c r="AB35" s="240"/>
    </row>
    <row r="36" spans="1:28" ht="12.75">
      <c r="A36" s="1050" t="s">
        <v>1322</v>
      </c>
      <c r="B36" s="1017"/>
      <c r="C36" s="1025" t="s">
        <v>1300</v>
      </c>
      <c r="D36" s="1018"/>
      <c r="E36" s="1030">
        <f>+E69</f>
        <v>0</v>
      </c>
      <c r="F36" s="1030">
        <f>+F69</f>
        <v>0</v>
      </c>
      <c r="G36" s="1030">
        <f>+G69</f>
        <v>0</v>
      </c>
      <c r="H36" s="1030">
        <f>+H69</f>
        <v>0</v>
      </c>
      <c r="I36" s="1031">
        <f>+I69</f>
        <v>0</v>
      </c>
      <c r="J36" s="1031">
        <v>0</v>
      </c>
      <c r="K36" s="1031">
        <v>0</v>
      </c>
      <c r="L36" s="1031">
        <v>0</v>
      </c>
      <c r="M36" s="1031">
        <v>0</v>
      </c>
      <c r="N36" s="1031">
        <v>0</v>
      </c>
      <c r="O36" s="1031">
        <v>0</v>
      </c>
      <c r="P36" s="1031">
        <v>0</v>
      </c>
      <c r="Q36" s="1031">
        <v>0</v>
      </c>
      <c r="R36" s="1031">
        <v>0</v>
      </c>
      <c r="S36" s="1031">
        <v>0</v>
      </c>
      <c r="T36" s="1029"/>
      <c r="V36" s="296"/>
      <c r="W36" s="209"/>
      <c r="X36" s="240"/>
      <c r="Y36" s="240"/>
      <c r="Z36" s="240"/>
      <c r="AA36" s="240"/>
      <c r="AB36" s="240"/>
    </row>
    <row r="37" spans="1:28" ht="12.75">
      <c r="A37" s="1050" t="s">
        <v>1321</v>
      </c>
      <c r="B37" s="1017"/>
      <c r="C37" s="1025" t="s">
        <v>1300</v>
      </c>
      <c r="D37" s="1018"/>
      <c r="E37" s="1030">
        <f aca="true" t="shared" si="8" ref="E37:J37">+E22*E27/100</f>
        <v>10.31637735</v>
      </c>
      <c r="F37" s="1030">
        <f t="shared" si="8"/>
        <v>10.31637735</v>
      </c>
      <c r="G37" s="1030">
        <f t="shared" si="8"/>
        <v>10.31637735</v>
      </c>
      <c r="H37" s="1030">
        <f t="shared" si="8"/>
        <v>10.43331273</v>
      </c>
      <c r="I37" s="1031">
        <f t="shared" si="8"/>
        <v>10.43331273</v>
      </c>
      <c r="J37" s="1031">
        <f t="shared" si="8"/>
        <v>10.573494300000002</v>
      </c>
      <c r="K37" s="1031">
        <v>7.02</v>
      </c>
      <c r="L37" s="1031">
        <f aca="true" t="shared" si="9" ref="L37:Q37">L22*L27/100</f>
        <v>7.01778</v>
      </c>
      <c r="M37" s="1031">
        <f t="shared" si="9"/>
        <v>11.0457793935</v>
      </c>
      <c r="N37" s="1031">
        <f t="shared" si="9"/>
        <v>10.8804234</v>
      </c>
      <c r="O37" s="1031">
        <f t="shared" si="9"/>
        <v>10.78792176</v>
      </c>
      <c r="P37" s="1031">
        <f t="shared" si="9"/>
        <v>10.78792176</v>
      </c>
      <c r="Q37" s="1031">
        <f t="shared" si="9"/>
        <v>10.78792176</v>
      </c>
      <c r="R37" s="1031">
        <v>10.22</v>
      </c>
      <c r="S37" s="1031">
        <v>10.22</v>
      </c>
      <c r="T37" s="1029"/>
      <c r="V37" s="209"/>
      <c r="W37" s="209"/>
      <c r="X37" s="240"/>
      <c r="Y37" s="263"/>
      <c r="Z37" s="263"/>
      <c r="AA37" s="263"/>
      <c r="AB37" s="263"/>
    </row>
    <row r="38" spans="1:28" ht="12.75">
      <c r="A38" s="1050" t="s">
        <v>1308</v>
      </c>
      <c r="B38" s="1017"/>
      <c r="C38" s="1025" t="s">
        <v>1300</v>
      </c>
      <c r="D38" s="1018"/>
      <c r="E38" s="1030">
        <f>+E50</f>
        <v>2.4803239872617406</v>
      </c>
      <c r="F38" s="1030">
        <f>+F50</f>
        <v>3.2317055269756514</v>
      </c>
      <c r="G38" s="1030">
        <f>+G50</f>
        <v>3.2591005645833335</v>
      </c>
      <c r="H38" s="1030">
        <f>+H50</f>
        <v>3.2028525624092263</v>
      </c>
      <c r="I38" s="1031">
        <v>3.52</v>
      </c>
      <c r="J38" s="1031">
        <f aca="true" t="shared" si="10" ref="J38:P38">+J50</f>
        <v>3.3831</v>
      </c>
      <c r="K38" s="1031">
        <f t="shared" si="10"/>
        <v>3.4681989375</v>
      </c>
      <c r="L38" s="1031">
        <f t="shared" si="10"/>
        <v>2.71</v>
      </c>
      <c r="M38" s="1031">
        <f t="shared" si="10"/>
        <v>2.9245050000000004</v>
      </c>
      <c r="N38" s="1031">
        <f t="shared" si="10"/>
        <v>3.3668483851664877</v>
      </c>
      <c r="O38" s="1031">
        <f t="shared" si="10"/>
        <v>2.9326314859487814</v>
      </c>
      <c r="P38" s="1031">
        <f t="shared" si="10"/>
        <v>2.738917683839201</v>
      </c>
      <c r="Q38" s="1031">
        <f>+Q50</f>
        <v>3.4477897182821557</v>
      </c>
      <c r="R38" s="1031">
        <f>+R50</f>
        <v>4.549351275</v>
      </c>
      <c r="S38" s="1031">
        <f>+S50</f>
        <v>5.165283348749999</v>
      </c>
      <c r="T38" s="1029"/>
      <c r="V38" s="252"/>
      <c r="W38" s="209"/>
      <c r="X38" s="240"/>
      <c r="Y38" s="240"/>
      <c r="Z38" s="240"/>
      <c r="AA38" s="240"/>
      <c r="AB38" s="240"/>
    </row>
    <row r="39" spans="1:28" ht="25.5">
      <c r="A39" s="1050" t="s">
        <v>1320</v>
      </c>
      <c r="B39" s="1017"/>
      <c r="C39" s="1025" t="s">
        <v>1300</v>
      </c>
      <c r="D39" s="1018"/>
      <c r="E39" s="1030">
        <f>0.2559*32.5</f>
        <v>8.31675</v>
      </c>
      <c r="F39" s="1030">
        <f>0.2705*32.5</f>
        <v>8.79125</v>
      </c>
      <c r="G39" s="1030">
        <f>0.2861*32.5</f>
        <v>9.298250000000001</v>
      </c>
      <c r="H39" s="1030">
        <f>0.2861*32.5*1.0572</f>
        <v>9.8301099</v>
      </c>
      <c r="I39" s="1031">
        <f>0.3343*32.5</f>
        <v>10.864749999999999</v>
      </c>
      <c r="J39" s="1031">
        <f>0.357*32.5</f>
        <v>11.6025</v>
      </c>
      <c r="K39" s="1031">
        <f>0.3813*32.5</f>
        <v>12.392249999999999</v>
      </c>
      <c r="L39" s="1031">
        <f>0.4073*32.5</f>
        <v>13.23725</v>
      </c>
      <c r="M39" s="1031">
        <f>0.435*32.5</f>
        <v>14.1375</v>
      </c>
      <c r="N39" s="1031">
        <f>0.4646*32.5</f>
        <v>15.0995</v>
      </c>
      <c r="O39" s="1031">
        <f>0.4962*32.5</f>
        <v>16.1265</v>
      </c>
      <c r="P39" s="1031">
        <v>17.22</v>
      </c>
      <c r="Q39" s="1031">
        <f>0.53*1.068*32.5</f>
        <v>18.396300000000004</v>
      </c>
      <c r="R39" s="1031">
        <f>0.566*1.068*32.5</f>
        <v>19.645860000000003</v>
      </c>
      <c r="S39" s="1031">
        <f>0.6045*1.068*32.5</f>
        <v>20.982195000000004</v>
      </c>
      <c r="T39" s="1029" t="s">
        <v>1319</v>
      </c>
      <c r="U39" s="90" t="s">
        <v>1318</v>
      </c>
      <c r="V39" s="209"/>
      <c r="W39" s="209"/>
      <c r="X39" s="270"/>
      <c r="Y39" s="270"/>
      <c r="Z39" s="270"/>
      <c r="AA39" s="270"/>
      <c r="AB39" s="270"/>
    </row>
    <row r="40" spans="1:28" ht="12.75">
      <c r="A40" s="1051" t="s">
        <v>1317</v>
      </c>
      <c r="B40" s="1052"/>
      <c r="C40" s="1053" t="s">
        <v>1300</v>
      </c>
      <c r="D40" s="1054"/>
      <c r="E40" s="1055">
        <f>SUM(E35:E39)</f>
        <v>28.083451337261742</v>
      </c>
      <c r="F40" s="1055">
        <f>SUM(F35:F39)</f>
        <v>27.35933287697565</v>
      </c>
      <c r="G40" s="1055">
        <f>SUM(G35:G39)</f>
        <v>22.873727914583334</v>
      </c>
      <c r="H40" s="1055">
        <f>SUM(H35:H39)</f>
        <v>23.796275192409226</v>
      </c>
      <c r="I40" s="1048">
        <f>SUM(I35:I39)</f>
        <v>25.088062729999997</v>
      </c>
      <c r="J40" s="1048">
        <v>25.88</v>
      </c>
      <c r="K40" s="1048">
        <f aca="true" t="shared" si="11" ref="K40:P40">SUM(K35:K39)</f>
        <v>23.260448937499998</v>
      </c>
      <c r="L40" s="1048">
        <f t="shared" si="11"/>
        <v>23.33503</v>
      </c>
      <c r="M40" s="1048">
        <f t="shared" si="11"/>
        <v>29.9877843935</v>
      </c>
      <c r="N40" s="1048">
        <f t="shared" si="11"/>
        <v>31.698105118499818</v>
      </c>
      <c r="O40" s="1048">
        <f t="shared" si="11"/>
        <v>32.090853245948786</v>
      </c>
      <c r="P40" s="1048">
        <f t="shared" si="11"/>
        <v>32.9868394438392</v>
      </c>
      <c r="Q40" s="1048">
        <f>SUM(Q35:Q39)+0.01</f>
        <v>34.88201147828216</v>
      </c>
      <c r="R40" s="1048">
        <f>SUM(R35:R39)</f>
        <v>36.65971127500001</v>
      </c>
      <c r="S40" s="1048">
        <f>SUM(S35:S39)</f>
        <v>38.61197834874999</v>
      </c>
      <c r="T40" s="1029"/>
      <c r="U40" s="252"/>
      <c r="V40" s="252"/>
      <c r="W40" s="209"/>
      <c r="X40" s="240"/>
      <c r="Y40" s="240"/>
      <c r="Z40" s="240"/>
      <c r="AA40" s="240"/>
      <c r="AB40" s="240"/>
    </row>
    <row r="41" spans="1:28" ht="12.75" hidden="1">
      <c r="A41" s="1050" t="s">
        <v>1316</v>
      </c>
      <c r="B41" s="1017"/>
      <c r="C41" s="1025" t="s">
        <v>1300</v>
      </c>
      <c r="D41" s="1018"/>
      <c r="E41" s="1030"/>
      <c r="F41" s="1030"/>
      <c r="G41" s="1030"/>
      <c r="H41" s="1030"/>
      <c r="I41" s="1031"/>
      <c r="J41" s="1031"/>
      <c r="K41" s="1031"/>
      <c r="L41" s="1031"/>
      <c r="M41" s="1031"/>
      <c r="N41" s="1031"/>
      <c r="O41" s="1031"/>
      <c r="P41" s="1031"/>
      <c r="Q41" s="1031"/>
      <c r="R41" s="1031"/>
      <c r="S41" s="1031"/>
      <c r="T41" s="1029"/>
      <c r="V41" s="209"/>
      <c r="W41" s="209"/>
      <c r="X41" s="240"/>
      <c r="Y41" s="240"/>
      <c r="Z41" s="240"/>
      <c r="AA41" s="240"/>
      <c r="AB41" s="240"/>
    </row>
    <row r="42" spans="1:28" ht="28.5" customHeight="1" hidden="1">
      <c r="A42" s="1260" t="s">
        <v>1315</v>
      </c>
      <c r="B42" s="1261"/>
      <c r="C42" s="1025" t="s">
        <v>1300</v>
      </c>
      <c r="D42" s="1018"/>
      <c r="E42" s="1030"/>
      <c r="F42" s="1030"/>
      <c r="G42" s="1030"/>
      <c r="H42" s="1030"/>
      <c r="I42" s="1031"/>
      <c r="J42" s="1031"/>
      <c r="K42" s="1031"/>
      <c r="L42" s="1031"/>
      <c r="M42" s="1031"/>
      <c r="N42" s="1031"/>
      <c r="O42" s="1031"/>
      <c r="P42" s="1031"/>
      <c r="Q42" s="1031"/>
      <c r="R42" s="1031"/>
      <c r="S42" s="1031"/>
      <c r="T42" s="1017"/>
      <c r="V42" s="252"/>
      <c r="W42" s="209"/>
      <c r="X42" s="240"/>
      <c r="Y42" s="240"/>
      <c r="Z42" s="240"/>
      <c r="AA42" s="240"/>
      <c r="AB42" s="240"/>
    </row>
    <row r="43" spans="1:28" ht="12.75">
      <c r="A43" s="1049"/>
      <c r="B43" s="1017"/>
      <c r="C43" s="1025"/>
      <c r="D43" s="1018"/>
      <c r="E43" s="1030"/>
      <c r="F43" s="1030"/>
      <c r="G43" s="1030"/>
      <c r="H43" s="1030"/>
      <c r="I43" s="1031"/>
      <c r="J43" s="1031"/>
      <c r="K43" s="1031"/>
      <c r="L43" s="1031"/>
      <c r="M43" s="1031"/>
      <c r="N43" s="1031"/>
      <c r="O43" s="1031"/>
      <c r="P43" s="1031"/>
      <c r="Q43" s="1031"/>
      <c r="R43" s="1031"/>
      <c r="S43" s="1031"/>
      <c r="T43" s="1029"/>
      <c r="V43" s="209"/>
      <c r="W43" s="209"/>
      <c r="X43" s="240"/>
      <c r="Y43" s="240"/>
      <c r="Z43" s="240"/>
      <c r="AA43" s="240"/>
      <c r="AB43" s="240"/>
    </row>
    <row r="44" spans="1:28" ht="12.75">
      <c r="A44" s="1049" t="s">
        <v>1314</v>
      </c>
      <c r="B44" s="1017"/>
      <c r="C44" s="1025"/>
      <c r="D44" s="1018"/>
      <c r="E44" s="1018"/>
      <c r="F44" s="1018"/>
      <c r="G44" s="1018"/>
      <c r="H44" s="1018"/>
      <c r="I44" s="1056"/>
      <c r="J44" s="1056"/>
      <c r="K44" s="1056"/>
      <c r="L44" s="1056"/>
      <c r="M44" s="1056"/>
      <c r="N44" s="1056"/>
      <c r="O44" s="1056"/>
      <c r="P44" s="1056"/>
      <c r="Q44" s="1056"/>
      <c r="R44" s="1056"/>
      <c r="S44" s="1056"/>
      <c r="T44" s="1029"/>
      <c r="V44" s="283"/>
      <c r="W44" s="209"/>
      <c r="X44" s="209"/>
      <c r="Y44" s="209"/>
      <c r="Z44" s="209"/>
      <c r="AA44" s="209"/>
      <c r="AB44" s="209"/>
    </row>
    <row r="45" spans="1:28" ht="17.25" customHeight="1">
      <c r="A45" s="1057" t="s">
        <v>1313</v>
      </c>
      <c r="B45" s="1017">
        <v>1</v>
      </c>
      <c r="C45" s="1025" t="s">
        <v>1300</v>
      </c>
      <c r="D45" s="1018"/>
      <c r="E45" s="1030">
        <f>+((E14*E15*241.995)/10000)*$B45/E5</f>
        <v>4.1262933434267035</v>
      </c>
      <c r="F45" s="1030">
        <v>4.66</v>
      </c>
      <c r="G45" s="1030">
        <v>5.09</v>
      </c>
      <c r="H45" s="1030">
        <v>4.66</v>
      </c>
      <c r="I45" s="1031">
        <v>5.91</v>
      </c>
      <c r="J45" s="1031">
        <v>5.43</v>
      </c>
      <c r="K45" s="1031">
        <v>5.69</v>
      </c>
      <c r="L45" s="1031">
        <v>4.11</v>
      </c>
      <c r="M45" s="1031">
        <v>4.56</v>
      </c>
      <c r="N45" s="1031">
        <f>(N10*N14*N15)/(10000*12)</f>
        <v>5.079335505974667</v>
      </c>
      <c r="O45" s="1031">
        <f>(O10*O14*O15)/(10000*12)</f>
        <v>6.005365754761671</v>
      </c>
      <c r="P45" s="1031">
        <f>(P10*P14*P15)/(10000*12)</f>
        <v>3.7886073347651488</v>
      </c>
      <c r="Q45" s="1031">
        <f>(Q10*Q14*Q15)/(10000*12)</f>
        <v>12.934177555068148</v>
      </c>
      <c r="R45" s="1031">
        <v>12.62</v>
      </c>
      <c r="S45" s="1031">
        <v>14.6</v>
      </c>
      <c r="T45" s="1031"/>
      <c r="U45" s="252"/>
      <c r="V45" s="252"/>
      <c r="W45" s="209"/>
      <c r="X45" s="240"/>
      <c r="Y45" s="240"/>
      <c r="Z45" s="240"/>
      <c r="AA45" s="240"/>
      <c r="AB45" s="240"/>
    </row>
    <row r="46" spans="1:28" ht="24.75" customHeight="1">
      <c r="A46" s="1057" t="s">
        <v>1312</v>
      </c>
      <c r="B46" s="1017">
        <v>1</v>
      </c>
      <c r="C46" s="1025" t="s">
        <v>1300</v>
      </c>
      <c r="D46" s="1018"/>
      <c r="E46" s="1030">
        <f>+E39/12*$B46</f>
        <v>0.6930625</v>
      </c>
      <c r="F46" s="1030">
        <f>+F39/12*$B46</f>
        <v>0.7326041666666666</v>
      </c>
      <c r="G46" s="1030">
        <f>+G39/12*$B46</f>
        <v>0.7748541666666667</v>
      </c>
      <c r="H46" s="1030">
        <f>+H39/12*$B46</f>
        <v>0.819175825</v>
      </c>
      <c r="I46" s="1031">
        <f>+I39/12*$B46</f>
        <v>0.9053958333333333</v>
      </c>
      <c r="J46" s="1031">
        <v>0.97</v>
      </c>
      <c r="K46" s="1031">
        <f>+K39/12*$B46</f>
        <v>1.0326875</v>
      </c>
      <c r="L46" s="1031">
        <f>+L39/12*$B46</f>
        <v>1.1031041666666666</v>
      </c>
      <c r="M46" s="1031">
        <v>1.18</v>
      </c>
      <c r="N46" s="1031">
        <f aca="true" t="shared" si="12" ref="N46:S46">+N39/12*$B46</f>
        <v>1.2582916666666668</v>
      </c>
      <c r="O46" s="1031">
        <f t="shared" si="12"/>
        <v>1.343875</v>
      </c>
      <c r="P46" s="1031">
        <f t="shared" si="12"/>
        <v>1.4349999999999998</v>
      </c>
      <c r="Q46" s="1031">
        <f t="shared" si="12"/>
        <v>1.5330250000000003</v>
      </c>
      <c r="R46" s="1031">
        <f t="shared" si="12"/>
        <v>1.6371550000000001</v>
      </c>
      <c r="S46" s="1031">
        <f t="shared" si="12"/>
        <v>1.7485162500000004</v>
      </c>
      <c r="T46" s="1029"/>
      <c r="V46" s="283"/>
      <c r="W46" s="209"/>
      <c r="X46" s="240"/>
      <c r="Y46" s="240"/>
      <c r="Z46" s="240"/>
      <c r="AA46" s="240"/>
      <c r="AB46" s="240"/>
    </row>
    <row r="47" spans="1:28" ht="12.75">
      <c r="A47" s="1050" t="s">
        <v>1311</v>
      </c>
      <c r="B47" s="1017"/>
      <c r="C47" s="1025" t="s">
        <v>1300</v>
      </c>
      <c r="D47" s="1018"/>
      <c r="E47" s="1030">
        <f>+E46*30%*12</f>
        <v>2.495025</v>
      </c>
      <c r="F47" s="1030">
        <f>+F46*30%*12</f>
        <v>2.6373749999999996</v>
      </c>
      <c r="G47" s="1030">
        <f>+G46*30%*12</f>
        <v>2.789475</v>
      </c>
      <c r="H47" s="1030">
        <f>+H46*30%*12</f>
        <v>2.9490329699999998</v>
      </c>
      <c r="I47" s="1031">
        <f>+I46*30%*12</f>
        <v>3.2594249999999994</v>
      </c>
      <c r="J47" s="1031">
        <v>3.48</v>
      </c>
      <c r="K47" s="1031">
        <f>+K46*30%*12</f>
        <v>3.717675</v>
      </c>
      <c r="L47" s="1031">
        <f>+L46*30%*12</f>
        <v>3.9711749999999997</v>
      </c>
      <c r="M47" s="1031">
        <v>4.24</v>
      </c>
      <c r="N47" s="1031">
        <f aca="true" t="shared" si="13" ref="N47:S47">+N46*30%*12</f>
        <v>4.529850000000001</v>
      </c>
      <c r="O47" s="1031">
        <f t="shared" si="13"/>
        <v>4.837949999999999</v>
      </c>
      <c r="P47" s="1031">
        <f t="shared" si="13"/>
        <v>5.1659999999999995</v>
      </c>
      <c r="Q47" s="1031">
        <f t="shared" si="13"/>
        <v>5.518890000000001</v>
      </c>
      <c r="R47" s="1031">
        <v>5.9</v>
      </c>
      <c r="S47" s="1031">
        <f t="shared" si="13"/>
        <v>6.294658500000001</v>
      </c>
      <c r="T47" s="1029"/>
      <c r="V47" s="209"/>
      <c r="W47" s="209"/>
      <c r="X47" s="235"/>
      <c r="Y47" s="235"/>
      <c r="Z47" s="235"/>
      <c r="AA47" s="235"/>
      <c r="AB47" s="235"/>
    </row>
    <row r="48" spans="1:28" ht="12.75">
      <c r="A48" s="1050" t="s">
        <v>1310</v>
      </c>
      <c r="B48" s="1017">
        <v>2</v>
      </c>
      <c r="C48" s="1025" t="s">
        <v>1300</v>
      </c>
      <c r="D48" s="1018"/>
      <c r="E48" s="1030">
        <f>E40/6+E45/$B45*2</f>
        <v>12.933161909730364</v>
      </c>
      <c r="F48" s="1030">
        <f>+F40/6+F45/$B45*2</f>
        <v>13.879888812829275</v>
      </c>
      <c r="G48" s="1030">
        <v>13.9</v>
      </c>
      <c r="H48" s="1030">
        <f>+H40/6+H45/$B45*2</f>
        <v>13.286045865401539</v>
      </c>
      <c r="I48" s="1031">
        <f>+I40/6+I45/$B45*2</f>
        <v>16.001343788333333</v>
      </c>
      <c r="J48" s="1031">
        <v>15.18</v>
      </c>
      <c r="K48" s="1031">
        <v>15.25</v>
      </c>
      <c r="L48" s="1031">
        <v>12.1</v>
      </c>
      <c r="M48" s="1031">
        <v>14.09</v>
      </c>
      <c r="N48" s="1031">
        <v>15.96</v>
      </c>
      <c r="O48" s="1031">
        <v>12.15</v>
      </c>
      <c r="P48" s="1031">
        <v>12.33</v>
      </c>
      <c r="Q48" s="1031">
        <v>12.86</v>
      </c>
      <c r="R48" s="1031">
        <v>23.17</v>
      </c>
      <c r="S48" s="1031">
        <v>26.55</v>
      </c>
      <c r="T48" s="1029"/>
      <c r="V48" s="283"/>
      <c r="W48" s="209"/>
      <c r="X48" s="235"/>
      <c r="Y48" s="235"/>
      <c r="Z48" s="235"/>
      <c r="AA48" s="235"/>
      <c r="AB48" s="235"/>
    </row>
    <row r="49" spans="1:28" ht="12.75">
      <c r="A49" s="1050" t="s">
        <v>1309</v>
      </c>
      <c r="B49" s="1017"/>
      <c r="C49" s="1025" t="s">
        <v>1300</v>
      </c>
      <c r="D49" s="1018"/>
      <c r="E49" s="1030">
        <f aca="true" t="shared" si="14" ref="E49:O49">SUM(E45:E48)</f>
        <v>20.247542753157067</v>
      </c>
      <c r="F49" s="1030">
        <f t="shared" si="14"/>
        <v>21.909867979495942</v>
      </c>
      <c r="G49" s="1030">
        <f t="shared" si="14"/>
        <v>22.55432916666667</v>
      </c>
      <c r="H49" s="1030">
        <f t="shared" si="14"/>
        <v>21.714254660401537</v>
      </c>
      <c r="I49" s="1031">
        <f t="shared" si="14"/>
        <v>26.076164621666667</v>
      </c>
      <c r="J49" s="1031">
        <f t="shared" si="14"/>
        <v>25.06</v>
      </c>
      <c r="K49" s="1031">
        <f t="shared" si="14"/>
        <v>25.6903625</v>
      </c>
      <c r="L49" s="1031">
        <f t="shared" si="14"/>
        <v>21.284279166666664</v>
      </c>
      <c r="M49" s="1031">
        <f t="shared" si="14"/>
        <v>24.07</v>
      </c>
      <c r="N49" s="1031">
        <f t="shared" si="14"/>
        <v>26.827477172641334</v>
      </c>
      <c r="O49" s="1031">
        <f t="shared" si="14"/>
        <v>24.33719075476167</v>
      </c>
      <c r="P49" s="1031">
        <f>SUM(P45:P48)+0.01</f>
        <v>22.729607334765152</v>
      </c>
      <c r="Q49" s="1031">
        <f>SUM(Q45:Q48)-0.01</f>
        <v>32.83609255506815</v>
      </c>
      <c r="R49" s="1031">
        <f>SUM(R45:R48)</f>
        <v>43.327155000000005</v>
      </c>
      <c r="S49" s="1031">
        <f>SUM(S45:S48)</f>
        <v>49.19317475</v>
      </c>
      <c r="T49" s="1029"/>
      <c r="V49" s="209"/>
      <c r="W49" s="209"/>
      <c r="X49" s="240"/>
      <c r="Y49" s="240"/>
      <c r="Z49" s="240"/>
      <c r="AA49" s="240"/>
      <c r="AB49" s="240"/>
    </row>
    <row r="50" spans="1:28" ht="12.75">
      <c r="A50" s="1050" t="s">
        <v>1308</v>
      </c>
      <c r="B50" s="1017"/>
      <c r="C50" s="1025" t="s">
        <v>1300</v>
      </c>
      <c r="D50" s="1018"/>
      <c r="E50" s="1030">
        <f aca="true" t="shared" si="15" ref="E50:K50">+E49*E28/100</f>
        <v>2.4803239872617406</v>
      </c>
      <c r="F50" s="1030">
        <f t="shared" si="15"/>
        <v>3.2317055269756514</v>
      </c>
      <c r="G50" s="1030">
        <f t="shared" si="15"/>
        <v>3.2591005645833335</v>
      </c>
      <c r="H50" s="1030">
        <f t="shared" si="15"/>
        <v>3.2028525624092263</v>
      </c>
      <c r="I50" s="1031">
        <f t="shared" si="15"/>
        <v>3.5202822239250002</v>
      </c>
      <c r="J50" s="1031">
        <f t="shared" si="15"/>
        <v>3.3831</v>
      </c>
      <c r="K50" s="1031">
        <f t="shared" si="15"/>
        <v>3.4681989375</v>
      </c>
      <c r="L50" s="1031">
        <v>2.71</v>
      </c>
      <c r="M50" s="1031">
        <f aca="true" t="shared" si="16" ref="M50:S50">M49*M28/100</f>
        <v>2.9245050000000004</v>
      </c>
      <c r="N50" s="1031">
        <f t="shared" si="16"/>
        <v>3.3668483851664877</v>
      </c>
      <c r="O50" s="1031">
        <f t="shared" si="16"/>
        <v>2.9326314859487814</v>
      </c>
      <c r="P50" s="1031">
        <f t="shared" si="16"/>
        <v>2.738917683839201</v>
      </c>
      <c r="Q50" s="1031">
        <f t="shared" si="16"/>
        <v>3.4477897182821557</v>
      </c>
      <c r="R50" s="1031">
        <f t="shared" si="16"/>
        <v>4.549351275</v>
      </c>
      <c r="S50" s="1031">
        <f t="shared" si="16"/>
        <v>5.165283348749999</v>
      </c>
      <c r="T50" s="1029"/>
      <c r="U50" s="281"/>
      <c r="V50" s="209"/>
      <c r="W50" s="209"/>
      <c r="X50" s="255"/>
      <c r="Y50" s="255"/>
      <c r="Z50" s="263"/>
      <c r="AA50" s="263"/>
      <c r="AB50" s="263"/>
    </row>
    <row r="51" spans="1:28" ht="12.75">
      <c r="A51" s="1049" t="str">
        <f>+A7</f>
        <v>PERIODS</v>
      </c>
      <c r="B51" s="1017"/>
      <c r="C51" s="1025"/>
      <c r="D51" s="1018"/>
      <c r="E51" s="1022"/>
      <c r="F51" s="1022"/>
      <c r="G51" s="1022"/>
      <c r="H51" s="1022"/>
      <c r="I51" s="1026"/>
      <c r="J51" s="1026"/>
      <c r="K51" s="1026"/>
      <c r="L51" s="1026"/>
      <c r="M51" s="1026"/>
      <c r="N51" s="1026"/>
      <c r="O51" s="1026"/>
      <c r="P51" s="1026"/>
      <c r="Q51" s="1026"/>
      <c r="R51" s="1026"/>
      <c r="S51" s="1026"/>
      <c r="T51" s="1029"/>
      <c r="V51" s="209"/>
      <c r="W51" s="209"/>
      <c r="X51" s="235"/>
      <c r="Y51" s="235"/>
      <c r="Z51" s="235"/>
      <c r="AA51" s="235"/>
      <c r="AB51" s="235"/>
    </row>
    <row r="52" spans="1:28" ht="12.75">
      <c r="A52" s="1049" t="s">
        <v>1307</v>
      </c>
      <c r="B52" s="1017"/>
      <c r="C52" s="1025"/>
      <c r="D52" s="1018"/>
      <c r="E52" s="1058" t="s">
        <v>1306</v>
      </c>
      <c r="F52" s="1058" t="s">
        <v>1305</v>
      </c>
      <c r="G52" s="1058"/>
      <c r="H52" s="1058"/>
      <c r="I52" s="1058"/>
      <c r="J52" s="1058"/>
      <c r="K52" s="1058"/>
      <c r="L52" s="1058"/>
      <c r="M52" s="1058"/>
      <c r="N52" s="1058"/>
      <c r="O52" s="1058"/>
      <c r="P52" s="1058"/>
      <c r="Q52" s="1058"/>
      <c r="R52" s="1058"/>
      <c r="S52" s="1058"/>
      <c r="T52" s="1029"/>
      <c r="U52" s="272"/>
      <c r="V52" s="271"/>
      <c r="W52" s="209"/>
      <c r="X52" s="277"/>
      <c r="Y52" s="277"/>
      <c r="Z52" s="277"/>
      <c r="AA52" s="277"/>
      <c r="AB52" s="277"/>
    </row>
    <row r="53" spans="1:28" ht="12.75">
      <c r="A53" s="1050" t="s">
        <v>1304</v>
      </c>
      <c r="B53" s="1017"/>
      <c r="C53" s="1025" t="s">
        <v>1300</v>
      </c>
      <c r="D53" s="1018"/>
      <c r="E53" s="1030">
        <v>146.45</v>
      </c>
      <c r="F53" s="1030">
        <f>+E59</f>
        <v>146.45</v>
      </c>
      <c r="G53" s="1030">
        <v>146.45</v>
      </c>
      <c r="H53" s="1030">
        <v>146.45</v>
      </c>
      <c r="I53" s="1030">
        <v>146.45</v>
      </c>
      <c r="J53" s="1030">
        <v>149.77</v>
      </c>
      <c r="K53" s="1030">
        <v>150.37</v>
      </c>
      <c r="L53" s="1030">
        <v>150.92</v>
      </c>
      <c r="M53" s="1030">
        <v>150.92</v>
      </c>
      <c r="N53" s="1030">
        <v>162.69</v>
      </c>
      <c r="O53" s="1030">
        <v>164.44</v>
      </c>
      <c r="P53" s="1030">
        <v>164.44</v>
      </c>
      <c r="Q53" s="1030">
        <v>164.44</v>
      </c>
      <c r="R53" s="1030">
        <v>164.44</v>
      </c>
      <c r="S53" s="1030">
        <v>164.44</v>
      </c>
      <c r="T53" s="1029"/>
      <c r="V53" s="209"/>
      <c r="W53" s="209"/>
      <c r="X53" s="244"/>
      <c r="Y53" s="244"/>
      <c r="Z53" s="244"/>
      <c r="AA53" s="244"/>
      <c r="AB53" s="244"/>
    </row>
    <row r="54" spans="1:28" ht="51" hidden="1">
      <c r="A54" s="1059" t="s">
        <v>1303</v>
      </c>
      <c r="B54" s="1017"/>
      <c r="C54" s="1025" t="s">
        <v>1300</v>
      </c>
      <c r="D54" s="1018"/>
      <c r="E54" s="1022"/>
      <c r="F54" s="1022"/>
      <c r="G54" s="1022"/>
      <c r="H54" s="1022"/>
      <c r="I54" s="1022"/>
      <c r="J54" s="1022"/>
      <c r="K54" s="1022"/>
      <c r="L54" s="1022"/>
      <c r="M54" s="1022"/>
      <c r="N54" s="1022"/>
      <c r="O54" s="1022"/>
      <c r="P54" s="1022"/>
      <c r="Q54" s="1022"/>
      <c r="R54" s="1022"/>
      <c r="S54" s="1022"/>
      <c r="T54" s="1029"/>
      <c r="V54" s="209"/>
      <c r="W54" s="209"/>
      <c r="X54" s="244"/>
      <c r="Y54" s="244"/>
      <c r="Z54" s="244"/>
      <c r="AA54" s="235"/>
      <c r="AB54" s="235"/>
    </row>
    <row r="55" spans="1:28" ht="12.75" hidden="1">
      <c r="A55" s="1050" t="s">
        <v>1302</v>
      </c>
      <c r="B55" s="1017"/>
      <c r="C55" s="1025" t="s">
        <v>1300</v>
      </c>
      <c r="D55" s="1018"/>
      <c r="E55" s="1030"/>
      <c r="F55" s="1030"/>
      <c r="G55" s="1030"/>
      <c r="H55" s="1030"/>
      <c r="I55" s="1030"/>
      <c r="J55" s="1030"/>
      <c r="K55" s="1030"/>
      <c r="L55" s="1030"/>
      <c r="M55" s="1030"/>
      <c r="N55" s="1030"/>
      <c r="O55" s="1030"/>
      <c r="P55" s="1030"/>
      <c r="Q55" s="1030"/>
      <c r="R55" s="1030"/>
      <c r="S55" s="1030"/>
      <c r="T55" s="1029"/>
      <c r="V55" s="209"/>
      <c r="W55" s="209"/>
      <c r="X55" s="244"/>
      <c r="Y55" s="244"/>
      <c r="Z55" s="244"/>
      <c r="AA55" s="244"/>
      <c r="AB55" s="244"/>
    </row>
    <row r="56" spans="1:28" ht="12.75" hidden="1">
      <c r="A56" s="1050"/>
      <c r="B56" s="1017"/>
      <c r="C56" s="1025" t="s">
        <v>1300</v>
      </c>
      <c r="D56" s="1018"/>
      <c r="E56" s="1022"/>
      <c r="F56" s="1022"/>
      <c r="G56" s="1022"/>
      <c r="H56" s="1022"/>
      <c r="I56" s="1022"/>
      <c r="J56" s="1022"/>
      <c r="K56" s="1022"/>
      <c r="L56" s="1022"/>
      <c r="M56" s="1022"/>
      <c r="N56" s="1022"/>
      <c r="O56" s="1022"/>
      <c r="P56" s="1022"/>
      <c r="Q56" s="1022"/>
      <c r="R56" s="1022"/>
      <c r="S56" s="1022"/>
      <c r="T56" s="1029"/>
      <c r="V56" s="209"/>
      <c r="W56" s="209"/>
      <c r="X56" s="244"/>
      <c r="Y56" s="244"/>
      <c r="Z56" s="244"/>
      <c r="AA56" s="235"/>
      <c r="AB56" s="235"/>
    </row>
    <row r="57" spans="1:28" ht="63.75" hidden="1">
      <c r="A57" s="1059" t="s">
        <v>1301</v>
      </c>
      <c r="B57" s="1017"/>
      <c r="C57" s="1025" t="s">
        <v>1300</v>
      </c>
      <c r="D57" s="1018"/>
      <c r="E57" s="1030"/>
      <c r="F57" s="1030"/>
      <c r="G57" s="1030"/>
      <c r="H57" s="1030"/>
      <c r="I57" s="1030"/>
      <c r="J57" s="1030"/>
      <c r="K57" s="1030"/>
      <c r="L57" s="1030"/>
      <c r="M57" s="1030"/>
      <c r="N57" s="1030"/>
      <c r="O57" s="1030"/>
      <c r="P57" s="1030"/>
      <c r="Q57" s="1030"/>
      <c r="R57" s="1030"/>
      <c r="S57" s="1030"/>
      <c r="T57" s="1029"/>
      <c r="V57" s="209"/>
      <c r="W57" s="209"/>
      <c r="X57" s="240"/>
      <c r="Y57" s="240"/>
      <c r="Z57" s="240"/>
      <c r="AA57" s="240"/>
      <c r="AB57" s="240"/>
    </row>
    <row r="58" spans="1:28" ht="12.75">
      <c r="A58" s="1050" t="s">
        <v>1299</v>
      </c>
      <c r="B58" s="1017"/>
      <c r="C58" s="1025"/>
      <c r="D58" s="1018"/>
      <c r="E58" s="1030">
        <v>0</v>
      </c>
      <c r="F58" s="1030">
        <v>0</v>
      </c>
      <c r="G58" s="1030">
        <v>0</v>
      </c>
      <c r="H58" s="1030">
        <v>3.32</v>
      </c>
      <c r="I58" s="1030">
        <v>3.32</v>
      </c>
      <c r="J58" s="1030">
        <v>0.6</v>
      </c>
      <c r="K58" s="1030">
        <v>0.51</v>
      </c>
      <c r="L58" s="1030">
        <v>0</v>
      </c>
      <c r="M58" s="1030">
        <v>11.769</v>
      </c>
      <c r="N58" s="1030">
        <v>6.32</v>
      </c>
      <c r="O58" s="1030">
        <v>0</v>
      </c>
      <c r="P58" s="1030">
        <v>0</v>
      </c>
      <c r="Q58" s="1030">
        <v>0</v>
      </c>
      <c r="R58" s="1030">
        <v>0</v>
      </c>
      <c r="S58" s="1030">
        <v>0</v>
      </c>
      <c r="T58" s="1029"/>
      <c r="U58" s="272"/>
      <c r="V58" s="271"/>
      <c r="W58" s="209"/>
      <c r="X58" s="240"/>
      <c r="Y58" s="240"/>
      <c r="Z58" s="240"/>
      <c r="AA58" s="240"/>
      <c r="AB58" s="240"/>
    </row>
    <row r="59" spans="1:28" ht="12.75">
      <c r="A59" s="1050" t="s">
        <v>1298</v>
      </c>
      <c r="B59" s="1017"/>
      <c r="C59" s="1025"/>
      <c r="D59" s="1018"/>
      <c r="E59" s="1030">
        <f aca="true" t="shared" si="17" ref="E59:P59">+E58+E53</f>
        <v>146.45</v>
      </c>
      <c r="F59" s="1030">
        <f t="shared" si="17"/>
        <v>146.45</v>
      </c>
      <c r="G59" s="1030">
        <f t="shared" si="17"/>
        <v>146.45</v>
      </c>
      <c r="H59" s="1030">
        <f t="shared" si="17"/>
        <v>149.76999999999998</v>
      </c>
      <c r="I59" s="1030">
        <f t="shared" si="17"/>
        <v>149.76999999999998</v>
      </c>
      <c r="J59" s="1030">
        <f t="shared" si="17"/>
        <v>150.37</v>
      </c>
      <c r="K59" s="1030">
        <f t="shared" si="17"/>
        <v>150.88</v>
      </c>
      <c r="L59" s="1030">
        <f t="shared" si="17"/>
        <v>150.92</v>
      </c>
      <c r="M59" s="1030">
        <f t="shared" si="17"/>
        <v>162.689</v>
      </c>
      <c r="N59" s="1030">
        <f t="shared" si="17"/>
        <v>169.01</v>
      </c>
      <c r="O59" s="1030">
        <f t="shared" si="17"/>
        <v>164.44</v>
      </c>
      <c r="P59" s="1030">
        <f t="shared" si="17"/>
        <v>164.44</v>
      </c>
      <c r="Q59" s="1030">
        <f>+Q58+Q53</f>
        <v>164.44</v>
      </c>
      <c r="R59" s="1030">
        <f>+R58+R53</f>
        <v>164.44</v>
      </c>
      <c r="S59" s="1030">
        <f>+S58+S53</f>
        <v>164.44</v>
      </c>
      <c r="T59" s="1029"/>
      <c r="V59" s="271"/>
      <c r="W59" s="209"/>
      <c r="X59" s="240"/>
      <c r="Y59" s="240"/>
      <c r="Z59" s="240"/>
      <c r="AA59" s="240"/>
      <c r="AB59" s="240"/>
    </row>
    <row r="60" spans="1:28" ht="12.75">
      <c r="A60" s="1050" t="s">
        <v>1297</v>
      </c>
      <c r="B60" s="1017"/>
      <c r="C60" s="1025"/>
      <c r="D60" s="1018"/>
      <c r="E60" s="1030">
        <f aca="true" t="shared" si="18" ref="E60:P60">+(E53+E59)/2</f>
        <v>146.45</v>
      </c>
      <c r="F60" s="1030">
        <f t="shared" si="18"/>
        <v>146.45</v>
      </c>
      <c r="G60" s="1030">
        <f t="shared" si="18"/>
        <v>146.45</v>
      </c>
      <c r="H60" s="1030">
        <f t="shared" si="18"/>
        <v>148.10999999999999</v>
      </c>
      <c r="I60" s="1030">
        <f t="shared" si="18"/>
        <v>148.10999999999999</v>
      </c>
      <c r="J60" s="1030">
        <f t="shared" si="18"/>
        <v>150.07</v>
      </c>
      <c r="K60" s="1030">
        <f t="shared" si="18"/>
        <v>150.625</v>
      </c>
      <c r="L60" s="1030">
        <f t="shared" si="18"/>
        <v>150.92</v>
      </c>
      <c r="M60" s="1030">
        <f t="shared" si="18"/>
        <v>156.8045</v>
      </c>
      <c r="N60" s="1030">
        <f t="shared" si="18"/>
        <v>165.85</v>
      </c>
      <c r="O60" s="1030">
        <f t="shared" si="18"/>
        <v>164.44</v>
      </c>
      <c r="P60" s="1030">
        <f t="shared" si="18"/>
        <v>164.44</v>
      </c>
      <c r="Q60" s="1030">
        <f>+(Q53+Q59)/2</f>
        <v>164.44</v>
      </c>
      <c r="R60" s="1030">
        <f>+(R53+R59)/2</f>
        <v>164.44</v>
      </c>
      <c r="S60" s="1030">
        <f>+(S53+S59)/2</f>
        <v>164.44</v>
      </c>
      <c r="T60" s="1029"/>
      <c r="V60" s="209"/>
      <c r="W60" s="209"/>
      <c r="X60" s="270"/>
      <c r="Y60" s="270"/>
      <c r="Z60" s="270"/>
      <c r="AA60" s="270"/>
      <c r="AB60" s="270"/>
    </row>
    <row r="61" spans="1:28" ht="12.75">
      <c r="A61" s="1051" t="s">
        <v>1296</v>
      </c>
      <c r="B61" s="1017"/>
      <c r="C61" s="1025"/>
      <c r="D61" s="1018"/>
      <c r="E61" s="1022"/>
      <c r="F61" s="1022"/>
      <c r="G61" s="1022"/>
      <c r="H61" s="1022"/>
      <c r="I61" s="1022"/>
      <c r="J61" s="1022"/>
      <c r="K61" s="1022"/>
      <c r="L61" s="1022"/>
      <c r="M61" s="1022"/>
      <c r="N61" s="1022"/>
      <c r="O61" s="1022"/>
      <c r="P61" s="1022"/>
      <c r="Q61" s="1022"/>
      <c r="R61" s="1022"/>
      <c r="S61" s="1022"/>
      <c r="T61" s="1029"/>
      <c r="V61" s="209"/>
      <c r="W61" s="209"/>
      <c r="X61" s="235"/>
      <c r="Y61" s="235"/>
      <c r="Z61" s="235"/>
      <c r="AA61" s="235"/>
      <c r="AB61" s="235"/>
    </row>
    <row r="62" spans="1:28" ht="12.75">
      <c r="A62" s="1050" t="s">
        <v>1295</v>
      </c>
      <c r="B62" s="1017"/>
      <c r="C62" s="1025"/>
      <c r="D62" s="1018"/>
      <c r="E62" s="1030">
        <f aca="true" t="shared" si="19" ref="E62:P62">E60*0.7</f>
        <v>102.51499999999999</v>
      </c>
      <c r="F62" s="1030">
        <f t="shared" si="19"/>
        <v>102.51499999999999</v>
      </c>
      <c r="G62" s="1030">
        <f t="shared" si="19"/>
        <v>102.51499999999999</v>
      </c>
      <c r="H62" s="1030">
        <f t="shared" si="19"/>
        <v>103.67699999999998</v>
      </c>
      <c r="I62" s="1030">
        <f t="shared" si="19"/>
        <v>103.67699999999998</v>
      </c>
      <c r="J62" s="1030">
        <f t="shared" si="19"/>
        <v>105.04899999999999</v>
      </c>
      <c r="K62" s="1030">
        <f t="shared" si="19"/>
        <v>105.4375</v>
      </c>
      <c r="L62" s="1030">
        <f t="shared" si="19"/>
        <v>105.64399999999999</v>
      </c>
      <c r="M62" s="1030">
        <f t="shared" si="19"/>
        <v>109.76314999999998</v>
      </c>
      <c r="N62" s="1030">
        <f t="shared" si="19"/>
        <v>116.09499999999998</v>
      </c>
      <c r="O62" s="1030">
        <f t="shared" si="19"/>
        <v>115.10799999999999</v>
      </c>
      <c r="P62" s="1030">
        <f t="shared" si="19"/>
        <v>115.10799999999999</v>
      </c>
      <c r="Q62" s="1030">
        <f>Q60*0.7</f>
        <v>115.10799999999999</v>
      </c>
      <c r="R62" s="1030">
        <f>R60*0.7</f>
        <v>115.10799999999999</v>
      </c>
      <c r="S62" s="1030">
        <f>S60*0.7</f>
        <v>115.10799999999999</v>
      </c>
      <c r="T62" s="1029"/>
      <c r="U62" s="263"/>
      <c r="V62" s="209"/>
      <c r="W62" s="263"/>
      <c r="X62" s="263"/>
      <c r="Y62" s="263"/>
      <c r="Z62" s="263"/>
      <c r="AA62" s="263"/>
      <c r="AB62" s="263"/>
    </row>
    <row r="63" spans="1:28" ht="67.5" customHeight="1">
      <c r="A63" s="1260" t="s">
        <v>1294</v>
      </c>
      <c r="B63" s="1261"/>
      <c r="C63" s="1025"/>
      <c r="D63" s="1018"/>
      <c r="E63" s="1030">
        <f aca="true" t="shared" si="20" ref="E63:K63">+E62</f>
        <v>102.51499999999999</v>
      </c>
      <c r="F63" s="1030">
        <f t="shared" si="20"/>
        <v>102.51499999999999</v>
      </c>
      <c r="G63" s="1030">
        <f t="shared" si="20"/>
        <v>102.51499999999999</v>
      </c>
      <c r="H63" s="1030">
        <f t="shared" si="20"/>
        <v>103.67699999999998</v>
      </c>
      <c r="I63" s="1030">
        <f t="shared" si="20"/>
        <v>103.67699999999998</v>
      </c>
      <c r="J63" s="1030">
        <f t="shared" si="20"/>
        <v>105.04899999999999</v>
      </c>
      <c r="K63" s="1030">
        <f t="shared" si="20"/>
        <v>105.4375</v>
      </c>
      <c r="L63" s="1030">
        <v>105.64</v>
      </c>
      <c r="M63" s="1030">
        <f aca="true" t="shared" si="21" ref="M63:S63">+M62</f>
        <v>109.76314999999998</v>
      </c>
      <c r="N63" s="1030">
        <f t="shared" si="21"/>
        <v>116.09499999999998</v>
      </c>
      <c r="O63" s="1030">
        <f t="shared" si="21"/>
        <v>115.10799999999999</v>
      </c>
      <c r="P63" s="1030">
        <f t="shared" si="21"/>
        <v>115.10799999999999</v>
      </c>
      <c r="Q63" s="1030">
        <f t="shared" si="21"/>
        <v>115.10799999999999</v>
      </c>
      <c r="R63" s="1030">
        <f t="shared" si="21"/>
        <v>115.10799999999999</v>
      </c>
      <c r="S63" s="1030">
        <f t="shared" si="21"/>
        <v>115.10799999999999</v>
      </c>
      <c r="T63" s="1029" t="s">
        <v>1293</v>
      </c>
      <c r="U63" s="255"/>
      <c r="V63" s="255"/>
      <c r="W63" s="255"/>
      <c r="X63" s="252"/>
      <c r="Y63" s="252"/>
      <c r="Z63" s="252"/>
      <c r="AA63" s="255"/>
      <c r="AB63" s="255"/>
    </row>
    <row r="64" spans="1:28" ht="25.5">
      <c r="A64" s="1050" t="s">
        <v>1292</v>
      </c>
      <c r="B64" s="1017"/>
      <c r="C64" s="1025"/>
      <c r="D64" s="1018"/>
      <c r="E64" s="1030">
        <v>0</v>
      </c>
      <c r="F64" s="1030">
        <f>+F62-F63</f>
        <v>0</v>
      </c>
      <c r="G64" s="1030"/>
      <c r="H64" s="1030"/>
      <c r="I64" s="1030"/>
      <c r="J64" s="1030"/>
      <c r="K64" s="1030"/>
      <c r="L64" s="1030"/>
      <c r="M64" s="1030"/>
      <c r="N64" s="1030"/>
      <c r="O64" s="1030"/>
      <c r="P64" s="1030"/>
      <c r="Q64" s="1030"/>
      <c r="R64" s="1030"/>
      <c r="S64" s="1030"/>
      <c r="T64" s="1029" t="s">
        <v>1291</v>
      </c>
      <c r="U64" s="252"/>
      <c r="V64" s="252"/>
      <c r="W64" s="252"/>
      <c r="X64" s="252"/>
      <c r="Y64" s="252"/>
      <c r="Z64" s="252"/>
      <c r="AA64" s="252"/>
      <c r="AB64" s="252"/>
    </row>
    <row r="65" spans="1:28" ht="12.75">
      <c r="A65" s="1050" t="s">
        <v>1290</v>
      </c>
      <c r="B65" s="1017"/>
      <c r="C65" s="1025"/>
      <c r="D65" s="1018"/>
      <c r="E65" s="1030"/>
      <c r="F65" s="1030"/>
      <c r="G65" s="1030"/>
      <c r="H65" s="1030"/>
      <c r="I65" s="1030"/>
      <c r="J65" s="1030"/>
      <c r="K65" s="1030"/>
      <c r="L65" s="1030">
        <v>0</v>
      </c>
      <c r="M65" s="1030">
        <v>0</v>
      </c>
      <c r="N65" s="1030">
        <v>0</v>
      </c>
      <c r="O65" s="1030">
        <v>0</v>
      </c>
      <c r="P65" s="1030">
        <v>0</v>
      </c>
      <c r="Q65" s="1030">
        <v>0</v>
      </c>
      <c r="R65" s="1030">
        <v>0</v>
      </c>
      <c r="S65" s="1030">
        <v>0</v>
      </c>
      <c r="T65" s="1029"/>
      <c r="U65" s="252"/>
      <c r="V65" s="252"/>
      <c r="W65" s="252"/>
      <c r="X65" s="252"/>
      <c r="Y65" s="252"/>
      <c r="Z65" s="252"/>
      <c r="AA65" s="252"/>
      <c r="AB65" s="252"/>
    </row>
    <row r="66" spans="1:28" ht="12.75">
      <c r="A66" s="1050" t="s">
        <v>1289</v>
      </c>
      <c r="B66" s="1017"/>
      <c r="C66" s="1025"/>
      <c r="D66" s="1018"/>
      <c r="E66" s="1030">
        <v>0</v>
      </c>
      <c r="F66" s="1030">
        <f>+F64</f>
        <v>0</v>
      </c>
      <c r="G66" s="1030"/>
      <c r="H66" s="1030"/>
      <c r="I66" s="1030"/>
      <c r="J66" s="1030"/>
      <c r="K66" s="1030"/>
      <c r="L66" s="1030"/>
      <c r="M66" s="1030"/>
      <c r="N66" s="1030"/>
      <c r="O66" s="1030"/>
      <c r="P66" s="1030"/>
      <c r="Q66" s="1030"/>
      <c r="R66" s="1030"/>
      <c r="S66" s="1030"/>
      <c r="T66" s="1029"/>
      <c r="U66" s="263"/>
      <c r="V66" s="263"/>
      <c r="W66" s="255"/>
      <c r="X66" s="252"/>
      <c r="Y66" s="252"/>
      <c r="Z66" s="252"/>
      <c r="AA66" s="255"/>
      <c r="AB66" s="263"/>
    </row>
    <row r="67" spans="1:28" ht="12.75">
      <c r="A67" s="1050" t="s">
        <v>1288</v>
      </c>
      <c r="B67" s="1017"/>
      <c r="C67" s="1025"/>
      <c r="D67" s="1018"/>
      <c r="E67" s="1030">
        <f>+E64-E66+E65</f>
        <v>0</v>
      </c>
      <c r="F67" s="1030">
        <f>+F64-F66+F65</f>
        <v>0</v>
      </c>
      <c r="G67" s="1030"/>
      <c r="H67" s="1030"/>
      <c r="I67" s="1030"/>
      <c r="J67" s="1030"/>
      <c r="K67" s="1030"/>
      <c r="L67" s="1030">
        <v>0</v>
      </c>
      <c r="M67" s="1030">
        <v>0</v>
      </c>
      <c r="N67" s="1030">
        <v>0</v>
      </c>
      <c r="O67" s="1030">
        <v>0</v>
      </c>
      <c r="P67" s="1030">
        <v>0</v>
      </c>
      <c r="Q67" s="1030">
        <v>0</v>
      </c>
      <c r="R67" s="1030">
        <v>0</v>
      </c>
      <c r="S67" s="1030">
        <v>0</v>
      </c>
      <c r="T67" s="1029"/>
      <c r="U67" s="240"/>
      <c r="V67" s="240"/>
      <c r="W67" s="252"/>
      <c r="X67" s="252"/>
      <c r="Y67" s="252"/>
      <c r="Z67" s="252"/>
      <c r="AA67" s="252"/>
      <c r="AB67" s="240"/>
    </row>
    <row r="68" spans="1:28" ht="12.75">
      <c r="A68" s="1050" t="s">
        <v>1287</v>
      </c>
      <c r="B68" s="1017"/>
      <c r="C68" s="1025"/>
      <c r="D68" s="1018"/>
      <c r="E68" s="1030">
        <f>+(E64+E67)/2</f>
        <v>0</v>
      </c>
      <c r="F68" s="1030">
        <f>+(F64+F67)/2</f>
        <v>0</v>
      </c>
      <c r="G68" s="1030"/>
      <c r="H68" s="1030"/>
      <c r="I68" s="1030"/>
      <c r="J68" s="1030"/>
      <c r="K68" s="1030"/>
      <c r="L68" s="1030"/>
      <c r="M68" s="1030"/>
      <c r="N68" s="1030"/>
      <c r="O68" s="1030"/>
      <c r="P68" s="1030"/>
      <c r="Q68" s="1030"/>
      <c r="R68" s="1030"/>
      <c r="S68" s="1030"/>
      <c r="T68" s="1029"/>
      <c r="U68" s="240"/>
      <c r="V68" s="240"/>
      <c r="W68" s="252"/>
      <c r="X68" s="252"/>
      <c r="Y68" s="252"/>
      <c r="Z68" s="252"/>
      <c r="AA68" s="252"/>
      <c r="AB68" s="240"/>
    </row>
    <row r="69" spans="1:28" ht="12.75">
      <c r="A69" s="1050" t="s">
        <v>1286</v>
      </c>
      <c r="B69" s="1017"/>
      <c r="C69" s="1025"/>
      <c r="D69" s="1018"/>
      <c r="E69" s="1030">
        <f>+E68*E26</f>
        <v>0</v>
      </c>
      <c r="F69" s="1030">
        <f>+F68*F26</f>
        <v>0</v>
      </c>
      <c r="G69" s="1030"/>
      <c r="H69" s="1030"/>
      <c r="I69" s="1030"/>
      <c r="J69" s="1030"/>
      <c r="K69" s="1030"/>
      <c r="L69" s="1030">
        <v>0</v>
      </c>
      <c r="M69" s="1030">
        <v>0</v>
      </c>
      <c r="N69" s="1030">
        <v>0</v>
      </c>
      <c r="O69" s="1030">
        <v>0</v>
      </c>
      <c r="P69" s="1030">
        <v>0</v>
      </c>
      <c r="Q69" s="1030">
        <v>0</v>
      </c>
      <c r="R69" s="1030">
        <v>0</v>
      </c>
      <c r="S69" s="1030">
        <v>0</v>
      </c>
      <c r="T69" s="1029"/>
      <c r="U69" s="240"/>
      <c r="V69" s="240"/>
      <c r="W69" s="252"/>
      <c r="X69" s="252"/>
      <c r="Y69" s="252"/>
      <c r="Z69" s="252"/>
      <c r="AA69" s="252"/>
      <c r="AB69" s="240"/>
    </row>
    <row r="70" spans="1:28" ht="12.75" hidden="1">
      <c r="A70" s="1050" t="s">
        <v>1285</v>
      </c>
      <c r="B70" s="1017"/>
      <c r="C70" s="1025"/>
      <c r="D70" s="1018"/>
      <c r="E70" s="1030"/>
      <c r="F70" s="1030"/>
      <c r="G70" s="1030"/>
      <c r="H70" s="1030"/>
      <c r="I70" s="1030"/>
      <c r="J70" s="1030"/>
      <c r="K70" s="1030"/>
      <c r="L70" s="1030"/>
      <c r="M70" s="1030"/>
      <c r="N70" s="1030"/>
      <c r="O70" s="1030"/>
      <c r="P70" s="1030"/>
      <c r="Q70" s="1030"/>
      <c r="R70" s="1030"/>
      <c r="S70" s="1030"/>
      <c r="T70" s="1029"/>
      <c r="V70" s="209"/>
      <c r="W70" s="261"/>
      <c r="X70" s="261"/>
      <c r="Y70" s="261"/>
      <c r="Z70" s="261"/>
      <c r="AA70" s="261"/>
      <c r="AB70" s="209"/>
    </row>
    <row r="71" spans="1:28" ht="12.75">
      <c r="A71" s="1050"/>
      <c r="B71" s="1017"/>
      <c r="C71" s="1025"/>
      <c r="D71" s="1018"/>
      <c r="E71" s="1060"/>
      <c r="F71" s="1060"/>
      <c r="G71" s="1060"/>
      <c r="H71" s="1060"/>
      <c r="I71" s="1060"/>
      <c r="J71" s="1060"/>
      <c r="K71" s="1060"/>
      <c r="L71" s="1060"/>
      <c r="M71" s="1060"/>
      <c r="N71" s="1060" t="s">
        <v>1284</v>
      </c>
      <c r="O71" s="1060"/>
      <c r="P71" s="1060"/>
      <c r="Q71" s="1060"/>
      <c r="R71" s="1060"/>
      <c r="S71" s="1060"/>
      <c r="T71" s="1029"/>
      <c r="V71" s="209"/>
      <c r="W71" s="259"/>
      <c r="X71" s="259"/>
      <c r="Y71" s="259"/>
      <c r="Z71" s="259"/>
      <c r="AA71" s="259"/>
      <c r="AB71" s="209"/>
    </row>
    <row r="72" spans="1:28" ht="12.75">
      <c r="A72" s="1051" t="s">
        <v>1283</v>
      </c>
      <c r="B72" s="1017"/>
      <c r="C72" s="1025"/>
      <c r="D72" s="1018"/>
      <c r="E72" s="1030"/>
      <c r="F72" s="1030"/>
      <c r="G72" s="1030"/>
      <c r="H72" s="1030"/>
      <c r="I72" s="1030"/>
      <c r="J72" s="1030"/>
      <c r="K72" s="1030"/>
      <c r="L72" s="1030"/>
      <c r="M72" s="1030"/>
      <c r="N72" s="1030"/>
      <c r="O72" s="1030"/>
      <c r="P72" s="1030"/>
      <c r="Q72" s="1030"/>
      <c r="R72" s="1030"/>
      <c r="S72" s="1030"/>
      <c r="T72" s="1029"/>
      <c r="V72" s="209"/>
      <c r="W72" s="257"/>
      <c r="X72" s="257"/>
      <c r="Y72" s="257"/>
      <c r="Z72" s="252"/>
      <c r="AA72" s="252"/>
      <c r="AB72" s="209"/>
    </row>
    <row r="73" spans="1:28" ht="12.75">
      <c r="A73" s="1050" t="s">
        <v>1282</v>
      </c>
      <c r="B73" s="1017"/>
      <c r="C73" s="1025"/>
      <c r="D73" s="1018"/>
      <c r="E73" s="1030">
        <f>+E19</f>
        <v>146.45</v>
      </c>
      <c r="F73" s="1030">
        <f>+F19</f>
        <v>146.45</v>
      </c>
      <c r="G73" s="1030">
        <f>+G19</f>
        <v>146.45</v>
      </c>
      <c r="H73" s="1030">
        <v>149.77</v>
      </c>
      <c r="I73" s="1030">
        <v>149.77</v>
      </c>
      <c r="J73" s="1030">
        <v>150.09</v>
      </c>
      <c r="K73" s="1030">
        <v>150.88</v>
      </c>
      <c r="L73" s="1030">
        <v>150.92</v>
      </c>
      <c r="M73" s="1030">
        <f>+M59</f>
        <v>162.689</v>
      </c>
      <c r="N73" s="1030">
        <f aca="true" t="shared" si="22" ref="N73:S73">+N60</f>
        <v>165.85</v>
      </c>
      <c r="O73" s="1030">
        <f t="shared" si="22"/>
        <v>164.44</v>
      </c>
      <c r="P73" s="1030">
        <f t="shared" si="22"/>
        <v>164.44</v>
      </c>
      <c r="Q73" s="1030">
        <f t="shared" si="22"/>
        <v>164.44</v>
      </c>
      <c r="R73" s="1030">
        <f t="shared" si="22"/>
        <v>164.44</v>
      </c>
      <c r="S73" s="1030">
        <f t="shared" si="22"/>
        <v>164.44</v>
      </c>
      <c r="T73" s="1029"/>
      <c r="U73" s="256"/>
      <c r="V73" s="209"/>
      <c r="W73" s="252"/>
      <c r="X73" s="252"/>
      <c r="Y73" s="252"/>
      <c r="Z73" s="252"/>
      <c r="AA73" s="252"/>
      <c r="AB73" s="209"/>
    </row>
    <row r="74" spans="1:28" ht="12.75">
      <c r="A74" s="1050" t="s">
        <v>1281</v>
      </c>
      <c r="B74" s="1017"/>
      <c r="C74" s="1025"/>
      <c r="D74" s="1018"/>
      <c r="E74" s="1030">
        <v>7.93</v>
      </c>
      <c r="F74" s="1030">
        <v>7.93</v>
      </c>
      <c r="G74" s="1030">
        <v>7.93</v>
      </c>
      <c r="H74" s="1030">
        <v>7.93</v>
      </c>
      <c r="I74" s="1030">
        <v>7.93</v>
      </c>
      <c r="J74" s="1030">
        <v>7.93</v>
      </c>
      <c r="K74" s="1030">
        <v>7.93</v>
      </c>
      <c r="L74" s="1030">
        <v>7.93</v>
      </c>
      <c r="M74" s="1030">
        <v>7.93</v>
      </c>
      <c r="N74" s="1030">
        <v>7.93</v>
      </c>
      <c r="O74" s="1030">
        <v>7.93</v>
      </c>
      <c r="P74" s="1030">
        <v>7.93</v>
      </c>
      <c r="Q74" s="1030">
        <v>7.93</v>
      </c>
      <c r="R74" s="1030">
        <v>7.93</v>
      </c>
      <c r="S74" s="1030">
        <v>7.93</v>
      </c>
      <c r="T74" s="1029"/>
      <c r="V74" s="209"/>
      <c r="W74" s="252"/>
      <c r="X74" s="252"/>
      <c r="Y74" s="252"/>
      <c r="Z74" s="252"/>
      <c r="AA74" s="252"/>
      <c r="AB74" s="209"/>
    </row>
    <row r="75" spans="1:28" ht="12.75">
      <c r="A75" s="1050" t="s">
        <v>1280</v>
      </c>
      <c r="B75" s="1017"/>
      <c r="C75" s="1025"/>
      <c r="D75" s="1018"/>
      <c r="E75" s="1030">
        <f aca="true" t="shared" si="23" ref="E75:K75">+E73-E74</f>
        <v>138.51999999999998</v>
      </c>
      <c r="F75" s="1030">
        <f t="shared" si="23"/>
        <v>138.51999999999998</v>
      </c>
      <c r="G75" s="1030">
        <f t="shared" si="23"/>
        <v>138.51999999999998</v>
      </c>
      <c r="H75" s="1030">
        <f t="shared" si="23"/>
        <v>141.84</v>
      </c>
      <c r="I75" s="1030">
        <f t="shared" si="23"/>
        <v>141.84</v>
      </c>
      <c r="J75" s="1030">
        <f t="shared" si="23"/>
        <v>142.16</v>
      </c>
      <c r="K75" s="1030">
        <f t="shared" si="23"/>
        <v>142.95</v>
      </c>
      <c r="L75" s="1030">
        <v>142.99</v>
      </c>
      <c r="M75" s="1030">
        <f aca="true" t="shared" si="24" ref="M75:S75">M73-M74</f>
        <v>154.759</v>
      </c>
      <c r="N75" s="1030">
        <f t="shared" si="24"/>
        <v>157.92</v>
      </c>
      <c r="O75" s="1030">
        <f t="shared" si="24"/>
        <v>156.51</v>
      </c>
      <c r="P75" s="1030">
        <f t="shared" si="24"/>
        <v>156.51</v>
      </c>
      <c r="Q75" s="1030">
        <f t="shared" si="24"/>
        <v>156.51</v>
      </c>
      <c r="R75" s="1030">
        <f t="shared" si="24"/>
        <v>156.51</v>
      </c>
      <c r="S75" s="1030">
        <f t="shared" si="24"/>
        <v>156.51</v>
      </c>
      <c r="T75" s="1029"/>
      <c r="U75" s="114"/>
      <c r="V75" s="209"/>
      <c r="W75" s="252"/>
      <c r="X75" s="252"/>
      <c r="Y75" s="252"/>
      <c r="Z75" s="252"/>
      <c r="AA75" s="252"/>
      <c r="AB75" s="209"/>
    </row>
    <row r="76" spans="1:28" ht="25.5">
      <c r="A76" s="1050" t="s">
        <v>1279</v>
      </c>
      <c r="B76" s="1017"/>
      <c r="C76" s="1025"/>
      <c r="D76" s="1018"/>
      <c r="E76" s="1030">
        <v>112.68</v>
      </c>
      <c r="F76" s="1030">
        <f>(+E76)+(E35)</f>
        <v>119.65</v>
      </c>
      <c r="G76" s="1030">
        <f>(+F76)+(F35)</f>
        <v>124.67</v>
      </c>
      <c r="H76" s="1030">
        <f>(+G76)+(G35)</f>
        <v>124.67</v>
      </c>
      <c r="I76" s="1030">
        <f>(+H76)+(H35)</f>
        <v>125</v>
      </c>
      <c r="J76" s="1030">
        <f>(+I76)+(I35)</f>
        <v>125.27</v>
      </c>
      <c r="K76" s="1030">
        <v>125.27</v>
      </c>
      <c r="L76" s="1030">
        <v>125.74</v>
      </c>
      <c r="M76" s="1030">
        <f>(+L76)+(L35)</f>
        <v>126.11</v>
      </c>
      <c r="N76" s="1030">
        <v>128.02</v>
      </c>
      <c r="O76" s="1030">
        <v>129.64</v>
      </c>
      <c r="P76" s="1030">
        <v>131.88</v>
      </c>
      <c r="Q76" s="1030">
        <v>134.13</v>
      </c>
      <c r="R76" s="1030">
        <f>(+Q76)+(Q35)</f>
        <v>136.37</v>
      </c>
      <c r="S76" s="1030">
        <f>(+R76)+(R35)</f>
        <v>138.61450000000002</v>
      </c>
      <c r="T76" s="1029" t="s">
        <v>1278</v>
      </c>
      <c r="V76" s="209"/>
      <c r="W76" s="255"/>
      <c r="X76" s="252"/>
      <c r="Y76" s="252"/>
      <c r="Z76" s="252"/>
      <c r="AA76" s="252"/>
      <c r="AB76" s="209"/>
    </row>
    <row r="77" spans="1:28" ht="51">
      <c r="A77" s="1050" t="s">
        <v>1277</v>
      </c>
      <c r="B77" s="1017"/>
      <c r="C77" s="1025"/>
      <c r="D77" s="1018"/>
      <c r="E77" s="1034">
        <f>+E75*E25/100</f>
        <v>6.967555999999999</v>
      </c>
      <c r="F77" s="1034">
        <v>5.02</v>
      </c>
      <c r="G77" s="1034">
        <v>0</v>
      </c>
      <c r="H77" s="1034">
        <v>0.27</v>
      </c>
      <c r="I77" s="1034">
        <v>0.27</v>
      </c>
      <c r="J77" s="1034">
        <v>0.33</v>
      </c>
      <c r="K77" s="1034">
        <v>0.38</v>
      </c>
      <c r="L77" s="1034">
        <v>0.37</v>
      </c>
      <c r="M77" s="1034">
        <v>1.88</v>
      </c>
      <c r="N77" s="1034">
        <f>(N78-N76)/6</f>
        <v>2.3513333333333293</v>
      </c>
      <c r="O77" s="1034">
        <f>(O78-O76)/5</f>
        <v>2.2438000000000047</v>
      </c>
      <c r="P77" s="1034">
        <f>(P78-P76)/4</f>
        <v>2.2447500000000034</v>
      </c>
      <c r="Q77" s="1034">
        <f>(Q78-Q76)/3</f>
        <v>2.2430000000000043</v>
      </c>
      <c r="R77" s="1034">
        <f>(R78-R76)/2</f>
        <v>2.244500000000002</v>
      </c>
      <c r="S77" s="1034">
        <f>(S78-S76)/1</f>
        <v>2.244499999999988</v>
      </c>
      <c r="T77" s="1029" t="s">
        <v>2038</v>
      </c>
      <c r="V77" s="209"/>
      <c r="W77" s="252"/>
      <c r="X77" s="252"/>
      <c r="Y77" s="252"/>
      <c r="Z77" s="252"/>
      <c r="AA77" s="252"/>
      <c r="AB77" s="209"/>
    </row>
    <row r="78" spans="1:28" ht="12.75">
      <c r="A78" s="1050" t="s">
        <v>1276</v>
      </c>
      <c r="B78" s="1017"/>
      <c r="C78" s="1040"/>
      <c r="D78" s="1018"/>
      <c r="E78" s="1030">
        <f aca="true" t="shared" si="25" ref="E78:K78">+E75*0.9</f>
        <v>124.66799999999999</v>
      </c>
      <c r="F78" s="1030">
        <f t="shared" si="25"/>
        <v>124.66799999999999</v>
      </c>
      <c r="G78" s="1030">
        <f t="shared" si="25"/>
        <v>124.66799999999999</v>
      </c>
      <c r="H78" s="1030">
        <f t="shared" si="25"/>
        <v>127.656</v>
      </c>
      <c r="I78" s="1030">
        <f t="shared" si="25"/>
        <v>127.656</v>
      </c>
      <c r="J78" s="1030">
        <f t="shared" si="25"/>
        <v>127.944</v>
      </c>
      <c r="K78" s="1030">
        <f t="shared" si="25"/>
        <v>128.655</v>
      </c>
      <c r="L78" s="1030">
        <v>128.69</v>
      </c>
      <c r="M78" s="1030">
        <f aca="true" t="shared" si="26" ref="M78:S78">M75*0.9</f>
        <v>139.2831</v>
      </c>
      <c r="N78" s="1030">
        <f t="shared" si="26"/>
        <v>142.128</v>
      </c>
      <c r="O78" s="1030">
        <f t="shared" si="26"/>
        <v>140.859</v>
      </c>
      <c r="P78" s="1030">
        <f t="shared" si="26"/>
        <v>140.859</v>
      </c>
      <c r="Q78" s="1030">
        <f t="shared" si="26"/>
        <v>140.859</v>
      </c>
      <c r="R78" s="1030">
        <f t="shared" si="26"/>
        <v>140.859</v>
      </c>
      <c r="S78" s="1030">
        <f t="shared" si="26"/>
        <v>140.859</v>
      </c>
      <c r="T78" s="1029"/>
      <c r="V78" s="209"/>
      <c r="W78" s="240"/>
      <c r="X78" s="240"/>
      <c r="Y78" s="240"/>
      <c r="Z78" s="240"/>
      <c r="AA78" s="240"/>
      <c r="AB78" s="209"/>
    </row>
    <row r="79" spans="1:28" ht="12.75">
      <c r="A79" s="1050" t="s">
        <v>1275</v>
      </c>
      <c r="B79" s="1017"/>
      <c r="C79" s="1025"/>
      <c r="D79" s="1018"/>
      <c r="E79" s="1030">
        <f aca="true" t="shared" si="27" ref="E79:K79">+E77</f>
        <v>6.967555999999999</v>
      </c>
      <c r="F79" s="1030">
        <f t="shared" si="27"/>
        <v>5.02</v>
      </c>
      <c r="G79" s="1030">
        <f t="shared" si="27"/>
        <v>0</v>
      </c>
      <c r="H79" s="1030">
        <f t="shared" si="27"/>
        <v>0.27</v>
      </c>
      <c r="I79" s="1030">
        <f t="shared" si="27"/>
        <v>0.27</v>
      </c>
      <c r="J79" s="1030">
        <f t="shared" si="27"/>
        <v>0.33</v>
      </c>
      <c r="K79" s="1030">
        <f t="shared" si="27"/>
        <v>0.38</v>
      </c>
      <c r="L79" s="1030">
        <v>0.37</v>
      </c>
      <c r="M79" s="1030">
        <f aca="true" t="shared" si="28" ref="M79:S79">+M77</f>
        <v>1.88</v>
      </c>
      <c r="N79" s="1030">
        <f t="shared" si="28"/>
        <v>2.3513333333333293</v>
      </c>
      <c r="O79" s="1030">
        <f t="shared" si="28"/>
        <v>2.2438000000000047</v>
      </c>
      <c r="P79" s="1030">
        <f t="shared" si="28"/>
        <v>2.2447500000000034</v>
      </c>
      <c r="Q79" s="1030">
        <f t="shared" si="28"/>
        <v>2.2430000000000043</v>
      </c>
      <c r="R79" s="1030">
        <f t="shared" si="28"/>
        <v>2.244500000000002</v>
      </c>
      <c r="S79" s="1030">
        <f t="shared" si="28"/>
        <v>2.244499999999988</v>
      </c>
      <c r="T79" s="1029"/>
      <c r="V79" s="209"/>
      <c r="W79" s="240"/>
      <c r="X79" s="240"/>
      <c r="Y79" s="240"/>
      <c r="Z79" s="240"/>
      <c r="AA79" s="240"/>
      <c r="AB79" s="209"/>
    </row>
    <row r="80" spans="1:28" ht="12.75">
      <c r="A80" s="247"/>
      <c r="B80" s="246"/>
      <c r="C80" s="249"/>
      <c r="T80" s="248"/>
      <c r="V80" s="209"/>
      <c r="W80" s="209"/>
      <c r="X80" s="209"/>
      <c r="Y80" s="209"/>
      <c r="Z80" s="209"/>
      <c r="AA80" s="209"/>
      <c r="AB80" s="209"/>
    </row>
    <row r="81" spans="1:28" ht="12.75" hidden="1">
      <c r="A81" s="247" t="s">
        <v>1274</v>
      </c>
      <c r="B81" s="246"/>
      <c r="C81" s="246"/>
      <c r="E81" s="240"/>
      <c r="F81" s="240"/>
      <c r="G81" s="240"/>
      <c r="H81" s="240"/>
      <c r="I81" s="240"/>
      <c r="J81" s="240"/>
      <c r="K81" s="240"/>
      <c r="L81" s="240"/>
      <c r="M81" s="240"/>
      <c r="N81" s="240"/>
      <c r="O81" s="240"/>
      <c r="P81" s="240"/>
      <c r="Q81" s="240"/>
      <c r="R81" s="240"/>
      <c r="S81" s="240"/>
      <c r="T81" s="248"/>
      <c r="U81" s="240"/>
      <c r="V81" s="209"/>
      <c r="W81" s="209"/>
      <c r="X81" s="209"/>
      <c r="Y81" s="209"/>
      <c r="Z81" s="209"/>
      <c r="AA81" s="209"/>
      <c r="AB81" s="209"/>
    </row>
    <row r="82" spans="1:28" ht="12.75" hidden="1">
      <c r="A82" s="247" t="s">
        <v>1259</v>
      </c>
      <c r="B82" s="246"/>
      <c r="C82" s="246"/>
      <c r="E82" s="240"/>
      <c r="F82" s="240"/>
      <c r="G82" s="240"/>
      <c r="H82" s="240"/>
      <c r="I82" s="240"/>
      <c r="J82" s="240"/>
      <c r="K82" s="240"/>
      <c r="L82" s="240"/>
      <c r="M82" s="240"/>
      <c r="N82" s="240"/>
      <c r="O82" s="240"/>
      <c r="P82" s="240"/>
      <c r="Q82" s="240"/>
      <c r="R82" s="240"/>
      <c r="S82" s="240"/>
      <c r="T82" s="248"/>
      <c r="U82" s="240"/>
      <c r="V82" s="209"/>
      <c r="W82" s="209"/>
      <c r="X82" s="209"/>
      <c r="Y82" s="209"/>
      <c r="Z82" s="209"/>
      <c r="AA82" s="209"/>
      <c r="AB82" s="209"/>
    </row>
    <row r="83" spans="1:28" ht="12.75" hidden="1">
      <c r="A83" s="247" t="s">
        <v>1273</v>
      </c>
      <c r="B83" s="246"/>
      <c r="C83" s="246"/>
      <c r="E83" s="240"/>
      <c r="F83" s="240"/>
      <c r="G83" s="240"/>
      <c r="H83" s="240"/>
      <c r="I83" s="240"/>
      <c r="J83" s="240"/>
      <c r="K83" s="240"/>
      <c r="L83" s="240"/>
      <c r="M83" s="240"/>
      <c r="N83" s="240"/>
      <c r="O83" s="240"/>
      <c r="P83" s="240"/>
      <c r="Q83" s="240"/>
      <c r="R83" s="240"/>
      <c r="S83" s="240"/>
      <c r="T83" s="248"/>
      <c r="U83" s="240"/>
      <c r="V83" s="209"/>
      <c r="W83" s="209"/>
      <c r="X83" s="209"/>
      <c r="Y83" s="209"/>
      <c r="Z83" s="209"/>
      <c r="AA83" s="209"/>
      <c r="AB83" s="209"/>
    </row>
    <row r="84" spans="1:28" ht="12.75" hidden="1">
      <c r="A84" s="247" t="s">
        <v>1272</v>
      </c>
      <c r="B84" s="246"/>
      <c r="C84" s="246"/>
      <c r="E84" s="240"/>
      <c r="F84" s="240"/>
      <c r="G84" s="240"/>
      <c r="H84" s="240"/>
      <c r="I84" s="240"/>
      <c r="J84" s="240"/>
      <c r="K84" s="240"/>
      <c r="L84" s="240"/>
      <c r="M84" s="240"/>
      <c r="N84" s="240"/>
      <c r="O84" s="240"/>
      <c r="P84" s="240"/>
      <c r="Q84" s="240"/>
      <c r="R84" s="240"/>
      <c r="S84" s="240"/>
      <c r="T84" s="248"/>
      <c r="U84" s="240"/>
      <c r="V84" s="209"/>
      <c r="W84" s="209"/>
      <c r="X84" s="209"/>
      <c r="Y84" s="209"/>
      <c r="Z84" s="209"/>
      <c r="AA84" s="209"/>
      <c r="AB84" s="209"/>
    </row>
    <row r="85" spans="1:28" ht="12.75" hidden="1">
      <c r="A85" s="247" t="s">
        <v>1271</v>
      </c>
      <c r="B85" s="246"/>
      <c r="C85" s="246"/>
      <c r="E85" s="240"/>
      <c r="F85" s="240"/>
      <c r="G85" s="240"/>
      <c r="H85" s="240"/>
      <c r="I85" s="240"/>
      <c r="J85" s="240"/>
      <c r="K85" s="240"/>
      <c r="L85" s="240"/>
      <c r="M85" s="240"/>
      <c r="N85" s="240"/>
      <c r="O85" s="240"/>
      <c r="P85" s="240"/>
      <c r="Q85" s="240"/>
      <c r="R85" s="240"/>
      <c r="S85" s="240"/>
      <c r="T85" s="248"/>
      <c r="U85" s="240"/>
      <c r="V85" s="209"/>
      <c r="W85" s="209"/>
      <c r="X85" s="209"/>
      <c r="Y85" s="209"/>
      <c r="Z85" s="209"/>
      <c r="AA85" s="209"/>
      <c r="AB85" s="209"/>
    </row>
    <row r="86" spans="1:28" ht="12.75" hidden="1">
      <c r="A86" s="247" t="s">
        <v>1270</v>
      </c>
      <c r="B86" s="246"/>
      <c r="C86" s="246"/>
      <c r="E86" s="240"/>
      <c r="F86" s="240"/>
      <c r="G86" s="240"/>
      <c r="H86" s="240"/>
      <c r="I86" s="240"/>
      <c r="J86" s="240"/>
      <c r="K86" s="240"/>
      <c r="L86" s="240"/>
      <c r="M86" s="240"/>
      <c r="N86" s="240"/>
      <c r="O86" s="240"/>
      <c r="P86" s="240"/>
      <c r="Q86" s="240"/>
      <c r="R86" s="240"/>
      <c r="S86" s="240"/>
      <c r="T86" s="248"/>
      <c r="U86" s="240"/>
      <c r="V86" s="209"/>
      <c r="W86" s="209"/>
      <c r="X86" s="209"/>
      <c r="Y86" s="209"/>
      <c r="Z86" s="209"/>
      <c r="AA86" s="209"/>
      <c r="AB86" s="209"/>
    </row>
    <row r="87" spans="1:28" ht="12.75" hidden="1">
      <c r="A87" s="247" t="s">
        <v>1269</v>
      </c>
      <c r="B87" s="246"/>
      <c r="C87" s="246"/>
      <c r="E87" s="240"/>
      <c r="F87" s="240"/>
      <c r="G87" s="240"/>
      <c r="H87" s="240"/>
      <c r="I87" s="240"/>
      <c r="J87" s="240"/>
      <c r="K87" s="240"/>
      <c r="L87" s="240"/>
      <c r="M87" s="240"/>
      <c r="N87" s="240"/>
      <c r="O87" s="240"/>
      <c r="P87" s="240"/>
      <c r="Q87" s="240"/>
      <c r="R87" s="240"/>
      <c r="S87" s="240"/>
      <c r="T87" s="248"/>
      <c r="U87" s="240"/>
      <c r="V87" s="209"/>
      <c r="W87" s="209"/>
      <c r="X87" s="209"/>
      <c r="Y87" s="209"/>
      <c r="Z87" s="209"/>
      <c r="AA87" s="209"/>
      <c r="AB87" s="209"/>
    </row>
    <row r="88" spans="1:28" ht="12.75" hidden="1">
      <c r="A88" s="247" t="s">
        <v>1268</v>
      </c>
      <c r="B88" s="246"/>
      <c r="C88" s="246"/>
      <c r="E88" s="240"/>
      <c r="F88" s="240"/>
      <c r="G88" s="240"/>
      <c r="H88" s="240"/>
      <c r="I88" s="240"/>
      <c r="J88" s="240"/>
      <c r="K88" s="240"/>
      <c r="L88" s="240"/>
      <c r="M88" s="240"/>
      <c r="N88" s="240"/>
      <c r="O88" s="240"/>
      <c r="P88" s="240"/>
      <c r="Q88" s="240"/>
      <c r="R88" s="240"/>
      <c r="S88" s="240"/>
      <c r="T88" s="248"/>
      <c r="U88" s="240"/>
      <c r="V88" s="209"/>
      <c r="W88" s="209"/>
      <c r="X88" s="209"/>
      <c r="Y88" s="209"/>
      <c r="Z88" s="209"/>
      <c r="AA88" s="209"/>
      <c r="AB88" s="209"/>
    </row>
    <row r="89" spans="1:28" ht="12.75" hidden="1">
      <c r="A89" s="247" t="s">
        <v>1267</v>
      </c>
      <c r="B89" s="246"/>
      <c r="C89" s="246"/>
      <c r="E89" s="240"/>
      <c r="F89" s="240"/>
      <c r="G89" s="240"/>
      <c r="H89" s="240"/>
      <c r="I89" s="240"/>
      <c r="J89" s="240"/>
      <c r="K89" s="240"/>
      <c r="L89" s="240"/>
      <c r="M89" s="240"/>
      <c r="N89" s="240"/>
      <c r="O89" s="240"/>
      <c r="P89" s="240"/>
      <c r="Q89" s="240"/>
      <c r="R89" s="240"/>
      <c r="S89" s="240"/>
      <c r="T89" s="248"/>
      <c r="U89" s="240"/>
      <c r="V89" s="209"/>
      <c r="W89" s="209"/>
      <c r="X89" s="209"/>
      <c r="Y89" s="209"/>
      <c r="Z89" s="209"/>
      <c r="AA89" s="209"/>
      <c r="AB89" s="209"/>
    </row>
    <row r="90" spans="1:28" ht="12.75" hidden="1">
      <c r="A90" s="247" t="s">
        <v>1266</v>
      </c>
      <c r="B90" s="246"/>
      <c r="C90" s="246"/>
      <c r="E90" s="240"/>
      <c r="F90" s="240"/>
      <c r="G90" s="240"/>
      <c r="H90" s="240"/>
      <c r="I90" s="240"/>
      <c r="J90" s="240"/>
      <c r="K90" s="240"/>
      <c r="L90" s="240"/>
      <c r="M90" s="240"/>
      <c r="N90" s="240"/>
      <c r="O90" s="240"/>
      <c r="P90" s="240"/>
      <c r="Q90" s="240"/>
      <c r="R90" s="240"/>
      <c r="S90" s="240"/>
      <c r="T90" s="248"/>
      <c r="U90" s="235"/>
      <c r="V90" s="209"/>
      <c r="W90" s="209"/>
      <c r="X90" s="209"/>
      <c r="Y90" s="209"/>
      <c r="Z90" s="209"/>
      <c r="AA90" s="209"/>
      <c r="AB90" s="209"/>
    </row>
    <row r="91" spans="1:28" ht="12.75" hidden="1">
      <c r="A91" s="247" t="s">
        <v>1265</v>
      </c>
      <c r="B91" s="246"/>
      <c r="C91" s="246"/>
      <c r="E91" s="240"/>
      <c r="F91" s="240"/>
      <c r="G91" s="240"/>
      <c r="H91" s="240"/>
      <c r="I91" s="240"/>
      <c r="J91" s="240"/>
      <c r="K91" s="240"/>
      <c r="L91" s="240"/>
      <c r="M91" s="240"/>
      <c r="N91" s="240"/>
      <c r="O91" s="240"/>
      <c r="P91" s="240"/>
      <c r="Q91" s="240"/>
      <c r="R91" s="240"/>
      <c r="S91" s="240"/>
      <c r="T91" s="248"/>
      <c r="U91" s="240"/>
      <c r="V91" s="209"/>
      <c r="W91" s="209"/>
      <c r="X91" s="209"/>
      <c r="Y91" s="209"/>
      <c r="Z91" s="209"/>
      <c r="AA91" s="209"/>
      <c r="AB91" s="209"/>
    </row>
    <row r="92" spans="1:28" ht="12.75" hidden="1">
      <c r="A92" s="247"/>
      <c r="B92" s="246"/>
      <c r="C92" s="246"/>
      <c r="E92" s="235"/>
      <c r="F92" s="235"/>
      <c r="G92" s="235"/>
      <c r="H92" s="235"/>
      <c r="I92" s="235"/>
      <c r="J92" s="235"/>
      <c r="K92" s="235"/>
      <c r="L92" s="235"/>
      <c r="M92" s="235"/>
      <c r="N92" s="235"/>
      <c r="O92" s="235"/>
      <c r="P92" s="235"/>
      <c r="Q92" s="235"/>
      <c r="R92" s="235"/>
      <c r="S92" s="235"/>
      <c r="T92" s="248"/>
      <c r="U92" s="235"/>
      <c r="V92" s="209"/>
      <c r="W92" s="209"/>
      <c r="X92" s="209"/>
      <c r="Y92" s="209"/>
      <c r="Z92" s="209"/>
      <c r="AA92" s="209"/>
      <c r="AB92" s="209"/>
    </row>
    <row r="93" spans="1:28" ht="12.75" hidden="1">
      <c r="A93" s="247" t="s">
        <v>1264</v>
      </c>
      <c r="B93" s="246"/>
      <c r="C93" s="246"/>
      <c r="E93" s="235"/>
      <c r="F93" s="235"/>
      <c r="G93" s="235"/>
      <c r="H93" s="235"/>
      <c r="I93" s="235"/>
      <c r="J93" s="235"/>
      <c r="K93" s="235"/>
      <c r="L93" s="235"/>
      <c r="M93" s="235"/>
      <c r="N93" s="235"/>
      <c r="O93" s="235"/>
      <c r="P93" s="235"/>
      <c r="Q93" s="235"/>
      <c r="R93" s="235"/>
      <c r="S93" s="235"/>
      <c r="T93" s="248"/>
      <c r="U93" s="235"/>
      <c r="V93" s="209"/>
      <c r="W93" s="209"/>
      <c r="X93" s="209"/>
      <c r="Y93" s="209"/>
      <c r="Z93" s="209"/>
      <c r="AA93" s="209"/>
      <c r="AB93" s="209"/>
    </row>
    <row r="94" spans="1:28" ht="12.75" hidden="1">
      <c r="A94" s="247" t="s">
        <v>1263</v>
      </c>
      <c r="B94" s="246"/>
      <c r="C94" s="246"/>
      <c r="E94" s="244"/>
      <c r="F94" s="244"/>
      <c r="G94" s="244"/>
      <c r="H94" s="244"/>
      <c r="I94" s="244"/>
      <c r="J94" s="244"/>
      <c r="K94" s="244"/>
      <c r="L94" s="244"/>
      <c r="M94" s="244"/>
      <c r="N94" s="244"/>
      <c r="O94" s="244"/>
      <c r="P94" s="244"/>
      <c r="Q94" s="244"/>
      <c r="R94" s="244"/>
      <c r="S94" s="244"/>
      <c r="T94" s="248"/>
      <c r="U94" s="244"/>
      <c r="V94" s="209"/>
      <c r="W94" s="209"/>
      <c r="X94" s="209"/>
      <c r="Y94" s="209"/>
      <c r="Z94" s="209"/>
      <c r="AA94" s="209"/>
      <c r="AB94" s="209"/>
    </row>
    <row r="95" spans="1:28" ht="12.75" hidden="1">
      <c r="A95" s="247" t="s">
        <v>1262</v>
      </c>
      <c r="B95" s="246"/>
      <c r="C95" s="246"/>
      <c r="E95" s="244"/>
      <c r="F95" s="244"/>
      <c r="G95" s="244"/>
      <c r="H95" s="244"/>
      <c r="I95" s="244"/>
      <c r="J95" s="244"/>
      <c r="K95" s="244"/>
      <c r="L95" s="244"/>
      <c r="M95" s="244"/>
      <c r="N95" s="244"/>
      <c r="O95" s="244"/>
      <c r="P95" s="244"/>
      <c r="Q95" s="244"/>
      <c r="R95" s="244"/>
      <c r="S95" s="244"/>
      <c r="T95" s="248"/>
      <c r="U95" s="244"/>
      <c r="V95" s="209"/>
      <c r="W95" s="209"/>
      <c r="X95" s="209"/>
      <c r="Y95" s="209"/>
      <c r="Z95" s="209"/>
      <c r="AA95" s="209"/>
      <c r="AB95" s="209"/>
    </row>
    <row r="96" spans="1:28" ht="12.75" hidden="1">
      <c r="A96" s="247" t="s">
        <v>1261</v>
      </c>
      <c r="B96" s="246"/>
      <c r="C96" s="246"/>
      <c r="E96" s="240"/>
      <c r="F96" s="240"/>
      <c r="G96" s="240"/>
      <c r="H96" s="240"/>
      <c r="I96" s="240"/>
      <c r="J96" s="240"/>
      <c r="K96" s="240"/>
      <c r="L96" s="240"/>
      <c r="M96" s="240"/>
      <c r="N96" s="240"/>
      <c r="O96" s="240"/>
      <c r="P96" s="240"/>
      <c r="Q96" s="240"/>
      <c r="R96" s="240"/>
      <c r="S96" s="240"/>
      <c r="T96" s="248"/>
      <c r="U96" s="240"/>
      <c r="V96" s="209"/>
      <c r="W96" s="209"/>
      <c r="X96" s="209"/>
      <c r="Y96" s="209"/>
      <c r="Z96" s="209"/>
      <c r="AA96" s="209"/>
      <c r="AB96" s="209"/>
    </row>
    <row r="97" spans="1:28" ht="12.75" hidden="1">
      <c r="A97" s="247" t="s">
        <v>1260</v>
      </c>
      <c r="B97" s="246"/>
      <c r="C97" s="246"/>
      <c r="E97" s="245"/>
      <c r="F97" s="245"/>
      <c r="G97" s="245"/>
      <c r="H97" s="245"/>
      <c r="I97" s="245"/>
      <c r="J97" s="245"/>
      <c r="K97" s="245"/>
      <c r="L97" s="245"/>
      <c r="M97" s="245"/>
      <c r="N97" s="245"/>
      <c r="O97" s="245"/>
      <c r="P97" s="245"/>
      <c r="Q97" s="245"/>
      <c r="R97" s="245"/>
      <c r="S97" s="245"/>
      <c r="T97" s="245"/>
      <c r="U97" s="244"/>
      <c r="V97" s="209"/>
      <c r="W97" s="209"/>
      <c r="X97" s="209"/>
      <c r="Y97" s="209"/>
      <c r="Z97" s="209"/>
      <c r="AA97" s="209"/>
      <c r="AB97" s="209"/>
    </row>
    <row r="98" spans="1:28" ht="12.75" hidden="1">
      <c r="A98" s="243" t="s">
        <v>1259</v>
      </c>
      <c r="B98" s="242"/>
      <c r="C98" s="242"/>
      <c r="E98" s="241"/>
      <c r="F98" s="241"/>
      <c r="G98" s="241"/>
      <c r="H98" s="241"/>
      <c r="I98" s="241"/>
      <c r="J98" s="241"/>
      <c r="K98" s="241"/>
      <c r="L98" s="241"/>
      <c r="M98" s="241"/>
      <c r="N98" s="241"/>
      <c r="O98" s="241"/>
      <c r="P98" s="241"/>
      <c r="Q98" s="241"/>
      <c r="R98" s="241"/>
      <c r="S98" s="241"/>
      <c r="T98" s="241"/>
      <c r="U98" s="240"/>
      <c r="V98" s="209"/>
      <c r="W98" s="209"/>
      <c r="X98" s="209"/>
      <c r="Y98" s="209"/>
      <c r="Z98" s="209"/>
      <c r="AA98" s="209"/>
      <c r="AB98" s="209"/>
    </row>
    <row r="99" spans="1:28" ht="12.75">
      <c r="A99" s="239"/>
      <c r="B99" s="235"/>
      <c r="C99" s="235"/>
      <c r="D99" s="238"/>
      <c r="E99" s="237"/>
      <c r="F99" s="237"/>
      <c r="G99" s="237"/>
      <c r="H99" s="237"/>
      <c r="I99" s="237"/>
      <c r="J99" s="237"/>
      <c r="K99" s="237"/>
      <c r="L99" s="237"/>
      <c r="M99" s="237"/>
      <c r="N99" s="237"/>
      <c r="O99" s="237"/>
      <c r="P99" s="237"/>
      <c r="Q99" s="237"/>
      <c r="R99" s="237"/>
      <c r="S99" s="237"/>
      <c r="V99" s="209"/>
      <c r="W99" s="209"/>
      <c r="X99" s="209"/>
      <c r="Y99" s="209"/>
      <c r="Z99" s="209"/>
      <c r="AA99" s="209"/>
      <c r="AB99" s="209"/>
    </row>
    <row r="100" spans="1:28" ht="12.75">
      <c r="A100" s="209"/>
      <c r="B100" s="235"/>
      <c r="C100" s="235"/>
      <c r="D100" s="209"/>
      <c r="E100" s="209"/>
      <c r="F100" s="209"/>
      <c r="G100" s="209"/>
      <c r="H100" s="209"/>
      <c r="I100" s="209"/>
      <c r="J100" s="209"/>
      <c r="K100" s="209"/>
      <c r="L100" s="209"/>
      <c r="M100" s="209"/>
      <c r="N100" s="209"/>
      <c r="O100" s="209"/>
      <c r="P100" s="209"/>
      <c r="Q100" s="209"/>
      <c r="R100" s="209"/>
      <c r="S100" s="209"/>
      <c r="V100" s="209"/>
      <c r="W100" s="209"/>
      <c r="X100" s="209"/>
      <c r="Y100" s="209"/>
      <c r="Z100" s="209"/>
      <c r="AA100" s="209"/>
      <c r="AB100" s="209"/>
    </row>
    <row r="101" spans="1:28" ht="12.75">
      <c r="A101" s="235"/>
      <c r="B101" s="235"/>
      <c r="C101" s="1061"/>
      <c r="D101" s="209"/>
      <c r="E101" s="209"/>
      <c r="F101" s="209"/>
      <c r="G101" s="209"/>
      <c r="H101" s="209"/>
      <c r="I101" s="209"/>
      <c r="J101" s="209"/>
      <c r="K101" s="209"/>
      <c r="L101" s="209"/>
      <c r="M101" s="209"/>
      <c r="N101" s="209"/>
      <c r="O101" s="209"/>
      <c r="P101" s="209"/>
      <c r="Q101" s="209"/>
      <c r="R101" s="209"/>
      <c r="S101" s="209"/>
      <c r="V101" s="209"/>
      <c r="W101" s="209"/>
      <c r="X101" s="209"/>
      <c r="Y101" s="209"/>
      <c r="Z101" s="209"/>
      <c r="AA101" s="209"/>
      <c r="AB101" s="209"/>
    </row>
    <row r="102" spans="1:28" ht="12.75">
      <c r="A102" s="235"/>
      <c r="B102" s="235"/>
      <c r="C102" s="1061"/>
      <c r="D102" s="209"/>
      <c r="E102" s="209"/>
      <c r="F102" s="209"/>
      <c r="G102" s="209"/>
      <c r="H102" s="209"/>
      <c r="I102" s="209"/>
      <c r="J102" s="209"/>
      <c r="K102" s="209"/>
      <c r="L102" s="209"/>
      <c r="M102" s="209"/>
      <c r="N102" s="209"/>
      <c r="O102" s="209"/>
      <c r="P102" s="209"/>
      <c r="Q102" s="209"/>
      <c r="R102" s="209"/>
      <c r="S102" s="209"/>
      <c r="V102" s="209"/>
      <c r="W102" s="209"/>
      <c r="X102" s="209"/>
      <c r="Y102" s="209"/>
      <c r="Z102" s="209"/>
      <c r="AA102" s="209"/>
      <c r="AB102" s="209"/>
    </row>
    <row r="103" spans="1:28" ht="12.75">
      <c r="A103" s="235"/>
      <c r="B103" s="235"/>
      <c r="C103" s="235"/>
      <c r="D103" s="209"/>
      <c r="E103" s="209"/>
      <c r="F103" s="209"/>
      <c r="G103" s="209"/>
      <c r="H103" s="209"/>
      <c r="I103" s="209"/>
      <c r="J103" s="209"/>
      <c r="K103" s="209"/>
      <c r="L103" s="209"/>
      <c r="M103" s="209"/>
      <c r="N103" s="209"/>
      <c r="O103" s="209"/>
      <c r="P103" s="209"/>
      <c r="Q103" s="209"/>
      <c r="R103" s="209"/>
      <c r="S103" s="209"/>
      <c r="V103" s="209"/>
      <c r="W103" s="209"/>
      <c r="X103" s="209"/>
      <c r="Y103" s="209"/>
      <c r="Z103" s="209"/>
      <c r="AA103" s="209"/>
      <c r="AB103" s="209"/>
    </row>
    <row r="104" spans="1:19" ht="12.75">
      <c r="A104" s="209"/>
      <c r="B104" s="209"/>
      <c r="C104" s="209"/>
      <c r="D104" s="209"/>
      <c r="E104" s="209"/>
      <c r="F104" s="209"/>
      <c r="G104" s="209"/>
      <c r="H104" s="209"/>
      <c r="I104" s="209"/>
      <c r="J104" s="209"/>
      <c r="K104" s="209"/>
      <c r="L104" s="209"/>
      <c r="M104" s="209"/>
      <c r="N104" s="209"/>
      <c r="O104" s="209"/>
      <c r="P104" s="209"/>
      <c r="Q104" s="209"/>
      <c r="R104" s="209"/>
      <c r="S104" s="209"/>
    </row>
    <row r="105" spans="1:19" ht="12.75">
      <c r="A105" s="209"/>
      <c r="B105" s="209"/>
      <c r="C105" s="209"/>
      <c r="D105" s="209"/>
      <c r="E105" s="209"/>
      <c r="F105" s="209"/>
      <c r="G105" s="209"/>
      <c r="H105" s="209"/>
      <c r="I105" s="209"/>
      <c r="J105" s="209"/>
      <c r="K105" s="209"/>
      <c r="L105" s="209"/>
      <c r="M105" s="209"/>
      <c r="N105" s="209"/>
      <c r="O105" s="209"/>
      <c r="P105" s="209"/>
      <c r="Q105" s="209"/>
      <c r="R105" s="209"/>
      <c r="S105" s="209"/>
    </row>
    <row r="106" spans="1:19" ht="20.25">
      <c r="A106" s="209"/>
      <c r="B106" s="234"/>
      <c r="C106" s="209"/>
      <c r="D106" s="209"/>
      <c r="E106" s="209"/>
      <c r="F106" s="209"/>
      <c r="G106" s="209"/>
      <c r="H106" s="209"/>
      <c r="I106" s="209"/>
      <c r="J106" s="209"/>
      <c r="K106" s="209"/>
      <c r="L106" s="209"/>
      <c r="M106" s="209"/>
      <c r="N106" s="209"/>
      <c r="O106" s="209"/>
      <c r="P106" s="209"/>
      <c r="Q106" s="209"/>
      <c r="R106" s="209"/>
      <c r="S106" s="209"/>
    </row>
    <row r="107" spans="1:19" ht="12.75">
      <c r="A107" s="209"/>
      <c r="B107" s="209"/>
      <c r="C107" s="209"/>
      <c r="D107" s="209"/>
      <c r="E107" s="209"/>
      <c r="F107" s="209"/>
      <c r="G107" s="209"/>
      <c r="H107" s="209"/>
      <c r="I107" s="209"/>
      <c r="J107" s="209"/>
      <c r="K107" s="209"/>
      <c r="L107" s="209"/>
      <c r="M107" s="209"/>
      <c r="N107" s="209"/>
      <c r="O107" s="209"/>
      <c r="P107" s="209"/>
      <c r="Q107" s="209"/>
      <c r="R107" s="209"/>
      <c r="S107" s="209"/>
    </row>
    <row r="108" spans="1:19" ht="12.75">
      <c r="A108" s="1262"/>
      <c r="B108" s="1262"/>
      <c r="C108" s="209"/>
      <c r="D108" s="209"/>
      <c r="E108" s="233"/>
      <c r="F108" s="233"/>
      <c r="G108" s="233"/>
      <c r="H108" s="233"/>
      <c r="I108" s="233"/>
      <c r="J108" s="233"/>
      <c r="K108" s="233"/>
      <c r="L108" s="233"/>
      <c r="M108" s="233"/>
      <c r="N108" s="233"/>
      <c r="O108" s="233"/>
      <c r="P108" s="233"/>
      <c r="Q108" s="233"/>
      <c r="R108" s="233"/>
      <c r="S108" s="233"/>
    </row>
    <row r="109" spans="1:19" ht="12.75">
      <c r="A109" s="209"/>
      <c r="B109" s="209"/>
      <c r="C109" s="209"/>
      <c r="D109" s="209"/>
      <c r="E109" s="209"/>
      <c r="F109" s="209"/>
      <c r="G109" s="209"/>
      <c r="H109" s="209"/>
      <c r="I109" s="209"/>
      <c r="J109" s="209"/>
      <c r="K109" s="209"/>
      <c r="L109" s="209"/>
      <c r="M109" s="209"/>
      <c r="N109" s="209"/>
      <c r="O109" s="209"/>
      <c r="P109" s="209"/>
      <c r="Q109" s="209"/>
      <c r="R109" s="209"/>
      <c r="S109" s="209"/>
    </row>
    <row r="110" spans="5:19" ht="12.75">
      <c r="E110" s="209"/>
      <c r="F110" s="209"/>
      <c r="G110" s="209"/>
      <c r="H110" s="209"/>
      <c r="I110" s="209"/>
      <c r="J110" s="209"/>
      <c r="K110" s="209"/>
      <c r="L110" s="209"/>
      <c r="M110" s="209"/>
      <c r="N110" s="209"/>
      <c r="O110" s="209"/>
      <c r="P110" s="209"/>
      <c r="Q110" s="209"/>
      <c r="R110" s="209"/>
      <c r="S110" s="209"/>
    </row>
    <row r="111" spans="5:19" ht="12.75">
      <c r="E111" s="209"/>
      <c r="F111" s="209"/>
      <c r="G111" s="209"/>
      <c r="H111" s="209"/>
      <c r="I111" s="209"/>
      <c r="J111" s="209"/>
      <c r="K111" s="209"/>
      <c r="L111" s="209"/>
      <c r="M111" s="209"/>
      <c r="N111" s="209"/>
      <c r="O111" s="209"/>
      <c r="P111" s="209"/>
      <c r="Q111" s="209"/>
      <c r="R111" s="209"/>
      <c r="S111" s="209"/>
    </row>
  </sheetData>
  <sheetProtection/>
  <mergeCells count="9">
    <mergeCell ref="A42:B42"/>
    <mergeCell ref="A63:B63"/>
    <mergeCell ref="A108:B108"/>
    <mergeCell ref="A2:T2"/>
    <mergeCell ref="A3:T3"/>
    <mergeCell ref="A4:T4"/>
    <mergeCell ref="A6:B6"/>
    <mergeCell ref="A7:B7"/>
    <mergeCell ref="T15:T16"/>
  </mergeCells>
  <printOptions horizontalCentered="1" verticalCentered="1"/>
  <pageMargins left="0.15748031496062992" right="0.2362204724409449" top="0.31496062992125984" bottom="0.15748031496062992" header="0.5118110236220472" footer="0.31"/>
  <pageSetup horizontalDpi="600" verticalDpi="600" orientation="portrait" scale="80" r:id="rId1"/>
</worksheet>
</file>

<file path=xl/worksheets/sheet24.xml><?xml version="1.0" encoding="utf-8"?>
<worksheet xmlns="http://schemas.openxmlformats.org/spreadsheetml/2006/main" xmlns:r="http://schemas.openxmlformats.org/officeDocument/2006/relationships">
  <dimension ref="A1:AD51"/>
  <sheetViews>
    <sheetView zoomScalePageLayoutView="0" workbookViewId="0" topLeftCell="A1">
      <selection activeCell="S44" sqref="S44"/>
    </sheetView>
  </sheetViews>
  <sheetFormatPr defaultColWidth="9.33203125" defaultRowHeight="12.75"/>
  <cols>
    <col min="1" max="1" width="4" style="90" customWidth="1"/>
    <col min="2" max="2" width="9" style="90" customWidth="1"/>
    <col min="3" max="3" width="12.33203125" style="90" customWidth="1"/>
    <col min="4" max="4" width="13" style="90" customWidth="1"/>
    <col min="5" max="5" width="8.83203125" style="90" customWidth="1"/>
    <col min="6" max="6" width="0.1640625" style="90" customWidth="1"/>
    <col min="7" max="7" width="11.66015625" style="90" hidden="1" customWidth="1"/>
    <col min="8" max="8" width="8.83203125" style="90" hidden="1" customWidth="1"/>
    <col min="9" max="9" width="11.66015625" style="90" hidden="1" customWidth="1"/>
    <col min="10" max="10" width="9.33203125" style="90" customWidth="1"/>
    <col min="11" max="11" width="7.5" style="90" customWidth="1"/>
    <col min="12" max="12" width="10.33203125" style="90" customWidth="1"/>
    <col min="13" max="13" width="19.16015625" style="90" customWidth="1"/>
    <col min="14" max="14" width="13.83203125" style="90" hidden="1" customWidth="1"/>
    <col min="15" max="16" width="12.66015625" style="90" customWidth="1"/>
    <col min="17" max="17" width="13.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3" style="90" customWidth="1"/>
    <col min="26" max="26" width="16.66015625" style="90" customWidth="1"/>
    <col min="27" max="27" width="8.66015625" style="90" customWidth="1"/>
    <col min="28" max="28" width="6.83203125" style="90" customWidth="1"/>
    <col min="29" max="29" width="12" style="90" customWidth="1"/>
    <col min="30" max="30" width="17.16015625" style="90" customWidth="1"/>
    <col min="31" max="16384" width="9.33203125" style="90" customWidth="1"/>
  </cols>
  <sheetData>
    <row r="1" spans="1:29" ht="21">
      <c r="A1" s="1103" t="s">
        <v>1898</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852"/>
      <c r="AB1" s="852"/>
      <c r="AC1" s="852"/>
    </row>
    <row r="2" spans="1:30" ht="75">
      <c r="A2" s="853" t="s">
        <v>1230</v>
      </c>
      <c r="B2" s="854" t="s">
        <v>1229</v>
      </c>
      <c r="C2" s="855"/>
      <c r="D2" s="1104" t="s">
        <v>1228</v>
      </c>
      <c r="E2" s="1105"/>
      <c r="F2" s="1105"/>
      <c r="G2" s="1106"/>
      <c r="H2" s="1104"/>
      <c r="I2" s="1106"/>
      <c r="J2" s="1107" t="s">
        <v>1227</v>
      </c>
      <c r="K2" s="1108"/>
      <c r="L2" s="1109"/>
      <c r="M2" s="856" t="s">
        <v>1226</v>
      </c>
      <c r="N2" s="856" t="s">
        <v>1225</v>
      </c>
      <c r="O2" s="857" t="s">
        <v>1224</v>
      </c>
      <c r="P2" s="857" t="s">
        <v>1223</v>
      </c>
      <c r="Q2" s="858" t="s">
        <v>1222</v>
      </c>
      <c r="R2" s="859" t="s">
        <v>1221</v>
      </c>
      <c r="S2" s="859" t="s">
        <v>1220</v>
      </c>
      <c r="T2" s="860" t="s">
        <v>1219</v>
      </c>
      <c r="U2" s="861" t="s">
        <v>1218</v>
      </c>
      <c r="V2" s="861" t="s">
        <v>1217</v>
      </c>
      <c r="W2" s="862" t="s">
        <v>1216</v>
      </c>
      <c r="X2" s="862" t="s">
        <v>1215</v>
      </c>
      <c r="Y2" s="862" t="s">
        <v>1214</v>
      </c>
      <c r="Z2" s="861" t="s">
        <v>1213</v>
      </c>
      <c r="AA2" s="862" t="s">
        <v>1212</v>
      </c>
      <c r="AB2" s="862" t="s">
        <v>1211</v>
      </c>
      <c r="AC2" s="863" t="s">
        <v>1763</v>
      </c>
      <c r="AD2" s="864" t="s">
        <v>1837</v>
      </c>
    </row>
    <row r="3" spans="1:30" ht="45">
      <c r="A3" s="865"/>
      <c r="B3" s="865"/>
      <c r="C3" s="865"/>
      <c r="D3" s="866" t="s">
        <v>1203</v>
      </c>
      <c r="E3" s="866" t="s">
        <v>1208</v>
      </c>
      <c r="F3" s="866" t="s">
        <v>1207</v>
      </c>
      <c r="G3" s="867" t="s">
        <v>1206</v>
      </c>
      <c r="H3" s="866" t="s">
        <v>1205</v>
      </c>
      <c r="I3" s="867" t="s">
        <v>1204</v>
      </c>
      <c r="J3" s="866" t="s">
        <v>1203</v>
      </c>
      <c r="K3" s="866" t="s">
        <v>1202</v>
      </c>
      <c r="L3" s="866"/>
      <c r="M3" s="861"/>
      <c r="N3" s="861"/>
      <c r="O3" s="868"/>
      <c r="P3" s="869"/>
      <c r="Q3" s="870"/>
      <c r="R3" s="870"/>
      <c r="S3" s="870"/>
      <c r="T3" s="871"/>
      <c r="U3" s="872"/>
      <c r="V3" s="872"/>
      <c r="W3" s="872"/>
      <c r="X3" s="870"/>
      <c r="Y3" s="870"/>
      <c r="Z3" s="870"/>
      <c r="AA3" s="870"/>
      <c r="AB3" s="873"/>
      <c r="AC3" s="873"/>
      <c r="AD3" s="107">
        <v>346400000</v>
      </c>
    </row>
    <row r="4" spans="1:29" ht="15">
      <c r="A4" s="1110">
        <v>1</v>
      </c>
      <c r="B4" s="1113" t="s">
        <v>1899</v>
      </c>
      <c r="C4" s="874" t="s">
        <v>1189</v>
      </c>
      <c r="D4" s="875">
        <v>10836.708</v>
      </c>
      <c r="E4" s="875"/>
      <c r="F4" s="876" t="e">
        <f aca="true" t="shared" si="0" ref="F4:F32">ROUND((2646*W4*100)/(U4*(100-R4)),2)</f>
        <v>#DIV/0!</v>
      </c>
      <c r="G4" s="876" t="e">
        <f aca="true" t="shared" si="1" ref="G4:G39">(Q4*F4)-Y4</f>
        <v>#DIV/0!</v>
      </c>
      <c r="H4" s="876" t="e">
        <f aca="true" t="shared" si="2" ref="H4:H39">ROUND((S4*W4*100)/(U4*95),2)</f>
        <v>#DIV/0!</v>
      </c>
      <c r="I4" s="876" t="e">
        <f aca="true" t="shared" si="3" ref="I4:I39">(Q4*H4)-Y4</f>
        <v>#DIV/0!</v>
      </c>
      <c r="J4" s="875">
        <v>2376401</v>
      </c>
      <c r="K4" s="876"/>
      <c r="L4" s="876">
        <f>J4+K4</f>
        <v>2376401</v>
      </c>
      <c r="M4" s="877">
        <f>D4*J4+E4*K4</f>
        <v>25752363727.908</v>
      </c>
      <c r="N4" s="877" t="e">
        <f>H4*J4+I4*K4</f>
        <v>#DIV/0!</v>
      </c>
      <c r="O4" s="873"/>
      <c r="P4" s="873"/>
      <c r="Q4" s="878"/>
      <c r="R4" s="879" t="e">
        <f aca="true" t="shared" si="4" ref="R4:R39">P4*100/O4</f>
        <v>#DIV/0!</v>
      </c>
      <c r="S4" s="879" t="e">
        <f aca="true" t="shared" si="5" ref="S4:S39">ROUND((M4)/O4,2)</f>
        <v>#DIV/0!</v>
      </c>
      <c r="T4" s="880"/>
      <c r="U4" s="881">
        <f aca="true" t="shared" si="6" ref="U4:U39">M4/L4</f>
        <v>10836.708</v>
      </c>
      <c r="V4" s="882">
        <v>18074287</v>
      </c>
      <c r="W4" s="883">
        <f aca="true" t="shared" si="7" ref="W4:W39">ROUND(V4/L4,3)</f>
        <v>7.606</v>
      </c>
      <c r="X4" s="881">
        <f aca="true" t="shared" si="8" ref="X4:X39">ROUND((2646*W4*100)/(U4*95),2)</f>
        <v>1.95</v>
      </c>
      <c r="Y4" s="884">
        <f aca="true" t="shared" si="9" ref="Y4:Y39">X4*Q4</f>
        <v>0</v>
      </c>
      <c r="Z4" s="885">
        <f aca="true" t="shared" si="10" ref="Z4:Z39">Y4-V4</f>
        <v>-18074287</v>
      </c>
      <c r="AA4" s="870"/>
      <c r="AB4" s="873"/>
      <c r="AC4" s="873"/>
    </row>
    <row r="5" spans="1:29" ht="15">
      <c r="A5" s="1111"/>
      <c r="B5" s="1114"/>
      <c r="C5" s="874" t="s">
        <v>1188</v>
      </c>
      <c r="D5" s="875">
        <v>10878.296</v>
      </c>
      <c r="E5" s="875"/>
      <c r="F5" s="876" t="e">
        <f t="shared" si="0"/>
        <v>#DIV/0!</v>
      </c>
      <c r="G5" s="876" t="e">
        <f t="shared" si="1"/>
        <v>#DIV/0!</v>
      </c>
      <c r="H5" s="876" t="e">
        <f t="shared" si="2"/>
        <v>#DIV/0!</v>
      </c>
      <c r="I5" s="876" t="e">
        <f t="shared" si="3"/>
        <v>#DIV/0!</v>
      </c>
      <c r="J5" s="875">
        <v>2582428</v>
      </c>
      <c r="K5" s="876"/>
      <c r="L5" s="876">
        <f>J5+K5</f>
        <v>2582428</v>
      </c>
      <c r="M5" s="877">
        <f>D5*J5+E5*K5</f>
        <v>28092416182.688</v>
      </c>
      <c r="N5" s="877" t="e">
        <f>H5*L5</f>
        <v>#DIV/0!</v>
      </c>
      <c r="O5" s="873"/>
      <c r="P5" s="873"/>
      <c r="Q5" s="878"/>
      <c r="R5" s="879" t="e">
        <f t="shared" si="4"/>
        <v>#DIV/0!</v>
      </c>
      <c r="S5" s="879" t="e">
        <f t="shared" si="5"/>
        <v>#DIV/0!</v>
      </c>
      <c r="T5" s="886"/>
      <c r="U5" s="881">
        <f t="shared" si="6"/>
        <v>10878.296</v>
      </c>
      <c r="V5" s="872">
        <v>19722174</v>
      </c>
      <c r="W5" s="883">
        <f t="shared" si="7"/>
        <v>7.637</v>
      </c>
      <c r="X5" s="881">
        <f t="shared" si="8"/>
        <v>1.96</v>
      </c>
      <c r="Y5" s="884">
        <f t="shared" si="9"/>
        <v>0</v>
      </c>
      <c r="Z5" s="885">
        <f t="shared" si="10"/>
        <v>-19722174</v>
      </c>
      <c r="AA5" s="870"/>
      <c r="AB5" s="873"/>
      <c r="AC5" s="873"/>
    </row>
    <row r="6" spans="1:30" ht="15">
      <c r="A6" s="1112"/>
      <c r="B6" s="1115"/>
      <c r="C6" s="874" t="s">
        <v>1187</v>
      </c>
      <c r="D6" s="875"/>
      <c r="E6" s="875"/>
      <c r="F6" s="876">
        <f t="shared" si="0"/>
        <v>1.96</v>
      </c>
      <c r="G6" s="876">
        <f t="shared" si="1"/>
        <v>0</v>
      </c>
      <c r="H6" s="876">
        <f t="shared" si="2"/>
        <v>1.95</v>
      </c>
      <c r="I6" s="876">
        <f t="shared" si="3"/>
        <v>-192986</v>
      </c>
      <c r="J6" s="875"/>
      <c r="K6" s="876"/>
      <c r="L6" s="887">
        <f>SUM(L4:L5)</f>
        <v>4958829</v>
      </c>
      <c r="M6" s="888">
        <f>SUM(M4:M5)</f>
        <v>53844779910.596</v>
      </c>
      <c r="N6" s="877"/>
      <c r="O6" s="889">
        <v>20398970</v>
      </c>
      <c r="P6" s="889">
        <f>O6-Q6</f>
        <v>1100370</v>
      </c>
      <c r="Q6" s="878">
        <v>19298600</v>
      </c>
      <c r="R6" s="879">
        <f t="shared" si="4"/>
        <v>5.394242944619263</v>
      </c>
      <c r="S6" s="890">
        <f t="shared" si="5"/>
        <v>2639.58</v>
      </c>
      <c r="T6" s="891"/>
      <c r="U6" s="881">
        <f t="shared" si="6"/>
        <v>10858.365938933566</v>
      </c>
      <c r="V6" s="892">
        <f>V4+V5</f>
        <v>37796461</v>
      </c>
      <c r="W6" s="883">
        <f t="shared" si="7"/>
        <v>7.622</v>
      </c>
      <c r="X6" s="881">
        <f t="shared" si="8"/>
        <v>1.96</v>
      </c>
      <c r="Y6" s="882">
        <f t="shared" si="9"/>
        <v>37825256</v>
      </c>
      <c r="Z6" s="892">
        <f t="shared" si="10"/>
        <v>28795</v>
      </c>
      <c r="AA6" s="893">
        <f>O6*100/(780000*AB6)</f>
        <v>87.17508547008546</v>
      </c>
      <c r="AB6" s="873">
        <v>30</v>
      </c>
      <c r="AC6" s="873">
        <v>79058590</v>
      </c>
      <c r="AD6" s="107">
        <v>28866667</v>
      </c>
    </row>
    <row r="7" spans="1:30" ht="15">
      <c r="A7" s="1110">
        <v>2</v>
      </c>
      <c r="B7" s="1116" t="s">
        <v>1900</v>
      </c>
      <c r="C7" s="874" t="s">
        <v>1189</v>
      </c>
      <c r="D7" s="894">
        <v>10896.164</v>
      </c>
      <c r="E7" s="894"/>
      <c r="F7" s="876" t="e">
        <f t="shared" si="0"/>
        <v>#DIV/0!</v>
      </c>
      <c r="G7" s="876" t="e">
        <f t="shared" si="1"/>
        <v>#DIV/0!</v>
      </c>
      <c r="H7" s="876" t="e">
        <f t="shared" si="2"/>
        <v>#DIV/0!</v>
      </c>
      <c r="I7" s="876" t="e">
        <f t="shared" si="3"/>
        <v>#DIV/0!</v>
      </c>
      <c r="J7" s="894">
        <v>2543841</v>
      </c>
      <c r="K7" s="895"/>
      <c r="L7" s="896">
        <f>+J7+K7</f>
        <v>2543841</v>
      </c>
      <c r="M7" s="895">
        <f>D7*J7+E7*K7</f>
        <v>27718108725.924004</v>
      </c>
      <c r="N7" s="895" t="e">
        <f>H7*L7</f>
        <v>#DIV/0!</v>
      </c>
      <c r="O7" s="872"/>
      <c r="P7" s="897"/>
      <c r="Q7" s="878"/>
      <c r="R7" s="879" t="e">
        <f t="shared" si="4"/>
        <v>#DIV/0!</v>
      </c>
      <c r="S7" s="879" t="e">
        <f t="shared" si="5"/>
        <v>#DIV/0!</v>
      </c>
      <c r="T7" s="1118"/>
      <c r="U7" s="881">
        <f t="shared" si="6"/>
        <v>10896.164</v>
      </c>
      <c r="V7" s="872">
        <v>19838887</v>
      </c>
      <c r="W7" s="883">
        <f t="shared" si="7"/>
        <v>7.799</v>
      </c>
      <c r="X7" s="881">
        <f t="shared" si="8"/>
        <v>1.99</v>
      </c>
      <c r="Y7" s="884">
        <f t="shared" si="9"/>
        <v>0</v>
      </c>
      <c r="Z7" s="898">
        <f t="shared" si="10"/>
        <v>-19838887</v>
      </c>
      <c r="AA7" s="893" t="e">
        <f aca="true" t="shared" si="11" ref="AA7:AA39">O7*100/(780000*AB7)</f>
        <v>#DIV/0!</v>
      </c>
      <c r="AB7" s="872"/>
      <c r="AC7" s="872"/>
      <c r="AD7" s="107"/>
    </row>
    <row r="8" spans="1:30" ht="15">
      <c r="A8" s="1112"/>
      <c r="B8" s="1117"/>
      <c r="C8" s="874" t="s">
        <v>1188</v>
      </c>
      <c r="D8" s="894">
        <v>10865.485</v>
      </c>
      <c r="E8" s="894"/>
      <c r="F8" s="876" t="e">
        <f t="shared" si="0"/>
        <v>#DIV/0!</v>
      </c>
      <c r="G8" s="876" t="e">
        <f t="shared" si="1"/>
        <v>#DIV/0!</v>
      </c>
      <c r="H8" s="876" t="e">
        <f t="shared" si="2"/>
        <v>#DIV/0!</v>
      </c>
      <c r="I8" s="876" t="e">
        <f t="shared" si="3"/>
        <v>#DIV/0!</v>
      </c>
      <c r="J8" s="894">
        <v>2638848</v>
      </c>
      <c r="K8" s="894"/>
      <c r="L8" s="896">
        <f>+J8+K8</f>
        <v>2638848</v>
      </c>
      <c r="M8" s="895">
        <f>D8*J8+E8*K8</f>
        <v>28672363361.280003</v>
      </c>
      <c r="N8" s="895" t="e">
        <f>H8*L8</f>
        <v>#DIV/0!</v>
      </c>
      <c r="O8" s="872"/>
      <c r="P8" s="897"/>
      <c r="Q8" s="878"/>
      <c r="R8" s="879" t="e">
        <f t="shared" si="4"/>
        <v>#DIV/0!</v>
      </c>
      <c r="S8" s="879" t="e">
        <f t="shared" si="5"/>
        <v>#DIV/0!</v>
      </c>
      <c r="T8" s="1119"/>
      <c r="U8" s="881">
        <f t="shared" si="6"/>
        <v>10865.485</v>
      </c>
      <c r="V8" s="872">
        <v>20521828</v>
      </c>
      <c r="W8" s="883">
        <f t="shared" si="7"/>
        <v>7.777</v>
      </c>
      <c r="X8" s="881">
        <f t="shared" si="8"/>
        <v>1.99</v>
      </c>
      <c r="Y8" s="884">
        <f t="shared" si="9"/>
        <v>0</v>
      </c>
      <c r="Z8" s="898">
        <f t="shared" si="10"/>
        <v>-20521828</v>
      </c>
      <c r="AA8" s="893" t="e">
        <f t="shared" si="11"/>
        <v>#DIV/0!</v>
      </c>
      <c r="AB8" s="872"/>
      <c r="AC8" s="872"/>
      <c r="AD8" s="107"/>
    </row>
    <row r="9" spans="1:30" ht="15">
      <c r="A9" s="899"/>
      <c r="B9" s="900"/>
      <c r="C9" s="874" t="s">
        <v>1187</v>
      </c>
      <c r="D9" s="901"/>
      <c r="E9" s="901"/>
      <c r="F9" s="876">
        <f t="shared" si="0"/>
        <v>2</v>
      </c>
      <c r="G9" s="876">
        <f t="shared" si="1"/>
        <v>201854</v>
      </c>
      <c r="H9" s="876">
        <f t="shared" si="2"/>
        <v>1.99</v>
      </c>
      <c r="I9" s="876">
        <f t="shared" si="3"/>
        <v>0</v>
      </c>
      <c r="J9" s="901"/>
      <c r="K9" s="894"/>
      <c r="L9" s="902">
        <f>SUM(L7:L8)</f>
        <v>5182689</v>
      </c>
      <c r="M9" s="903">
        <f>SUM(M7:M8)</f>
        <v>56390472087.20401</v>
      </c>
      <c r="N9" s="895"/>
      <c r="O9" s="882">
        <v>21347410</v>
      </c>
      <c r="P9" s="889">
        <v>1162010</v>
      </c>
      <c r="Q9" s="904">
        <f>O9-P9</f>
        <v>20185400</v>
      </c>
      <c r="R9" s="879">
        <f t="shared" si="4"/>
        <v>5.443330127636092</v>
      </c>
      <c r="S9" s="890">
        <f t="shared" si="5"/>
        <v>2641.56</v>
      </c>
      <c r="T9" s="905"/>
      <c r="U9" s="881">
        <f t="shared" si="6"/>
        <v>10880.543302367556</v>
      </c>
      <c r="V9" s="892">
        <f>V7+V8</f>
        <v>40360715</v>
      </c>
      <c r="W9" s="883">
        <f t="shared" si="7"/>
        <v>7.788</v>
      </c>
      <c r="X9" s="881">
        <f t="shared" si="8"/>
        <v>1.99</v>
      </c>
      <c r="Y9" s="882">
        <f t="shared" si="9"/>
        <v>40168946</v>
      </c>
      <c r="Z9" s="892">
        <f t="shared" si="10"/>
        <v>-191769</v>
      </c>
      <c r="AA9" s="893">
        <f t="shared" si="11"/>
        <v>88.28540115798181</v>
      </c>
      <c r="AB9" s="872">
        <v>31</v>
      </c>
      <c r="AC9" s="872">
        <v>81402280</v>
      </c>
      <c r="AD9" s="107">
        <v>28866667</v>
      </c>
    </row>
    <row r="10" spans="1:30" ht="15">
      <c r="A10" s="1110">
        <v>3</v>
      </c>
      <c r="B10" s="1116" t="s">
        <v>1901</v>
      </c>
      <c r="C10" s="874" t="s">
        <v>1189</v>
      </c>
      <c r="D10" s="906">
        <v>10830.032</v>
      </c>
      <c r="E10" s="906"/>
      <c r="F10" s="876" t="e">
        <f t="shared" si="0"/>
        <v>#DIV/0!</v>
      </c>
      <c r="G10" s="876" t="e">
        <f t="shared" si="1"/>
        <v>#DIV/0!</v>
      </c>
      <c r="H10" s="876" t="e">
        <f t="shared" si="2"/>
        <v>#DIV/0!</v>
      </c>
      <c r="I10" s="876" t="e">
        <f t="shared" si="3"/>
        <v>#DIV/0!</v>
      </c>
      <c r="J10" s="906">
        <v>2496551</v>
      </c>
      <c r="K10" s="894"/>
      <c r="L10" s="896">
        <f aca="true" t="shared" si="12" ref="L10:L16">+J10+K10</f>
        <v>2496551</v>
      </c>
      <c r="M10" s="895">
        <f>D10*J10+E10*K10</f>
        <v>27037727219.632</v>
      </c>
      <c r="N10" s="895" t="e">
        <f>H10*L10</f>
        <v>#DIV/0!</v>
      </c>
      <c r="O10" s="872"/>
      <c r="P10" s="897"/>
      <c r="Q10" s="904"/>
      <c r="R10" s="879" t="e">
        <f t="shared" si="4"/>
        <v>#DIV/0!</v>
      </c>
      <c r="S10" s="879" t="e">
        <f t="shared" si="5"/>
        <v>#DIV/0!</v>
      </c>
      <c r="T10" s="1118"/>
      <c r="U10" s="881">
        <f t="shared" si="6"/>
        <v>10830.032</v>
      </c>
      <c r="V10" s="872">
        <v>19087438</v>
      </c>
      <c r="W10" s="883">
        <f t="shared" si="7"/>
        <v>7.646</v>
      </c>
      <c r="X10" s="881">
        <f t="shared" si="8"/>
        <v>1.97</v>
      </c>
      <c r="Y10" s="884">
        <f t="shared" si="9"/>
        <v>0</v>
      </c>
      <c r="Z10" s="898">
        <f t="shared" si="10"/>
        <v>-19087438</v>
      </c>
      <c r="AA10" s="893" t="e">
        <f t="shared" si="11"/>
        <v>#DIV/0!</v>
      </c>
      <c r="AB10" s="872"/>
      <c r="AC10" s="872"/>
      <c r="AD10" s="107"/>
    </row>
    <row r="11" spans="1:30" ht="15">
      <c r="A11" s="1112"/>
      <c r="B11" s="1117"/>
      <c r="C11" s="874" t="s">
        <v>1188</v>
      </c>
      <c r="D11" s="906">
        <v>10849.417</v>
      </c>
      <c r="E11" s="906"/>
      <c r="F11" s="876" t="e">
        <f t="shared" si="0"/>
        <v>#DIV/0!</v>
      </c>
      <c r="G11" s="876" t="e">
        <f t="shared" si="1"/>
        <v>#DIV/0!</v>
      </c>
      <c r="H11" s="876" t="e">
        <f t="shared" si="2"/>
        <v>#DIV/0!</v>
      </c>
      <c r="I11" s="876" t="e">
        <f t="shared" si="3"/>
        <v>#DIV/0!</v>
      </c>
      <c r="J11" s="894">
        <v>2587268</v>
      </c>
      <c r="K11" s="894"/>
      <c r="L11" s="896">
        <f t="shared" si="12"/>
        <v>2587268</v>
      </c>
      <c r="M11" s="895">
        <f>D11*J11+E11*K11</f>
        <v>28070349422.755997</v>
      </c>
      <c r="N11" s="895" t="e">
        <f>H11*L11</f>
        <v>#DIV/0!</v>
      </c>
      <c r="O11" s="872"/>
      <c r="P11" s="897"/>
      <c r="Q11" s="904"/>
      <c r="R11" s="879" t="e">
        <f t="shared" si="4"/>
        <v>#DIV/0!</v>
      </c>
      <c r="S11" s="879" t="e">
        <f t="shared" si="5"/>
        <v>#DIV/0!</v>
      </c>
      <c r="T11" s="1119"/>
      <c r="U11" s="881">
        <f t="shared" si="6"/>
        <v>10849.417</v>
      </c>
      <c r="V11" s="872">
        <v>19816433</v>
      </c>
      <c r="W11" s="883">
        <f t="shared" si="7"/>
        <v>7.659</v>
      </c>
      <c r="X11" s="881">
        <f t="shared" si="8"/>
        <v>1.97</v>
      </c>
      <c r="Y11" s="884">
        <f t="shared" si="9"/>
        <v>0</v>
      </c>
      <c r="Z11" s="898">
        <f t="shared" si="10"/>
        <v>-19816433</v>
      </c>
      <c r="AA11" s="893" t="e">
        <f t="shared" si="11"/>
        <v>#DIV/0!</v>
      </c>
      <c r="AB11" s="872"/>
      <c r="AC11" s="872"/>
      <c r="AD11" s="107"/>
    </row>
    <row r="12" spans="1:30" ht="15">
      <c r="A12" s="899"/>
      <c r="B12" s="900"/>
      <c r="C12" s="874" t="s">
        <v>1187</v>
      </c>
      <c r="D12" s="907"/>
      <c r="E12" s="907"/>
      <c r="F12" s="876">
        <f t="shared" si="0"/>
        <v>1.97</v>
      </c>
      <c r="G12" s="876">
        <f t="shared" si="1"/>
        <v>0</v>
      </c>
      <c r="H12" s="876">
        <f t="shared" si="2"/>
        <v>1.96</v>
      </c>
      <c r="I12" s="876">
        <f t="shared" si="3"/>
        <v>-197962</v>
      </c>
      <c r="J12" s="894"/>
      <c r="K12" s="894"/>
      <c r="L12" s="896">
        <f>SUM(L10:L11)</f>
        <v>5083819</v>
      </c>
      <c r="M12" s="903">
        <f>SUM(M10:M11)</f>
        <v>55108076642.388</v>
      </c>
      <c r="N12" s="895">
        <f>H12*L12</f>
        <v>9964285.24</v>
      </c>
      <c r="O12" s="882">
        <v>20913840</v>
      </c>
      <c r="P12" s="889">
        <v>1117640</v>
      </c>
      <c r="Q12" s="904">
        <f aca="true" t="shared" si="13" ref="Q12:Q39">O12-P12</f>
        <v>19796200</v>
      </c>
      <c r="R12" s="879">
        <f t="shared" si="4"/>
        <v>5.344020992797114</v>
      </c>
      <c r="S12" s="890">
        <f t="shared" si="5"/>
        <v>2635.01</v>
      </c>
      <c r="T12" s="908"/>
      <c r="U12" s="881">
        <f t="shared" si="6"/>
        <v>10839.897455512873</v>
      </c>
      <c r="V12" s="892">
        <f>V10+V11</f>
        <v>38903871</v>
      </c>
      <c r="W12" s="883">
        <f t="shared" si="7"/>
        <v>7.652</v>
      </c>
      <c r="X12" s="881">
        <f t="shared" si="8"/>
        <v>1.97</v>
      </c>
      <c r="Y12" s="882">
        <f t="shared" si="9"/>
        <v>38998514</v>
      </c>
      <c r="Z12" s="892">
        <f t="shared" si="10"/>
        <v>94643</v>
      </c>
      <c r="AA12" s="893">
        <f t="shared" si="11"/>
        <v>89.37538461538462</v>
      </c>
      <c r="AB12" s="872">
        <v>30</v>
      </c>
      <c r="AC12" s="872">
        <v>80231848</v>
      </c>
      <c r="AD12" s="107">
        <v>28866667</v>
      </c>
    </row>
    <row r="13" spans="1:30" ht="15">
      <c r="A13" s="1110">
        <v>4</v>
      </c>
      <c r="B13" s="1113" t="s">
        <v>1902</v>
      </c>
      <c r="C13" s="874" t="s">
        <v>1189</v>
      </c>
      <c r="D13" s="894">
        <v>10821.758</v>
      </c>
      <c r="E13" s="894"/>
      <c r="F13" s="901" t="e">
        <f t="shared" si="0"/>
        <v>#DIV/0!</v>
      </c>
      <c r="G13" s="876" t="e">
        <f t="shared" si="1"/>
        <v>#DIV/0!</v>
      </c>
      <c r="H13" s="909" t="e">
        <f t="shared" si="2"/>
        <v>#DIV/0!</v>
      </c>
      <c r="I13" s="876" t="e">
        <f t="shared" si="3"/>
        <v>#DIV/0!</v>
      </c>
      <c r="J13" s="894">
        <v>2578509</v>
      </c>
      <c r="K13" s="894"/>
      <c r="L13" s="896">
        <f t="shared" si="12"/>
        <v>2578509</v>
      </c>
      <c r="M13" s="895">
        <f>D13*J13+E13*K13</f>
        <v>27904000398.822</v>
      </c>
      <c r="N13" s="895" t="e">
        <f>H13*L13</f>
        <v>#DIV/0!</v>
      </c>
      <c r="O13" s="872"/>
      <c r="P13" s="897"/>
      <c r="Q13" s="904"/>
      <c r="R13" s="910" t="e">
        <f t="shared" si="4"/>
        <v>#DIV/0!</v>
      </c>
      <c r="S13" s="910" t="e">
        <f t="shared" si="5"/>
        <v>#DIV/0!</v>
      </c>
      <c r="T13" s="1120"/>
      <c r="U13" s="881">
        <f t="shared" si="6"/>
        <v>10821.758</v>
      </c>
      <c r="V13" s="872">
        <v>19745216</v>
      </c>
      <c r="W13" s="883">
        <f t="shared" si="7"/>
        <v>7.658</v>
      </c>
      <c r="X13" s="881">
        <f t="shared" si="8"/>
        <v>1.97</v>
      </c>
      <c r="Y13" s="884">
        <f t="shared" si="9"/>
        <v>0</v>
      </c>
      <c r="Z13" s="898">
        <f t="shared" si="10"/>
        <v>-19745216</v>
      </c>
      <c r="AA13" s="893" t="e">
        <f t="shared" si="11"/>
        <v>#DIV/0!</v>
      </c>
      <c r="AB13" s="872"/>
      <c r="AC13" s="872"/>
      <c r="AD13" s="107"/>
    </row>
    <row r="14" spans="1:30" ht="15">
      <c r="A14" s="1112"/>
      <c r="B14" s="1115"/>
      <c r="C14" s="874" t="s">
        <v>1188</v>
      </c>
      <c r="D14" s="911">
        <v>10860.283</v>
      </c>
      <c r="E14" s="911"/>
      <c r="F14" s="901" t="e">
        <f t="shared" si="0"/>
        <v>#DIV/0!</v>
      </c>
      <c r="G14" s="876" t="e">
        <f t="shared" si="1"/>
        <v>#DIV/0!</v>
      </c>
      <c r="H14" s="909" t="e">
        <f t="shared" si="2"/>
        <v>#DIV/0!</v>
      </c>
      <c r="I14" s="876" t="e">
        <f t="shared" si="3"/>
        <v>#DIV/0!</v>
      </c>
      <c r="J14" s="894">
        <v>2538501</v>
      </c>
      <c r="K14" s="894"/>
      <c r="L14" s="896">
        <f t="shared" si="12"/>
        <v>2538501</v>
      </c>
      <c r="M14" s="895">
        <f>D14*J14+E14*K14</f>
        <v>27568839255.782997</v>
      </c>
      <c r="N14" s="895" t="e">
        <f>H14*L14</f>
        <v>#DIV/0!</v>
      </c>
      <c r="O14" s="872"/>
      <c r="P14" s="897"/>
      <c r="Q14" s="904"/>
      <c r="R14" s="910" t="e">
        <f t="shared" si="4"/>
        <v>#DIV/0!</v>
      </c>
      <c r="S14" s="910" t="e">
        <f t="shared" si="5"/>
        <v>#DIV/0!</v>
      </c>
      <c r="T14" s="1120"/>
      <c r="U14" s="881">
        <f t="shared" si="6"/>
        <v>10860.283</v>
      </c>
      <c r="V14" s="872">
        <v>19508097</v>
      </c>
      <c r="W14" s="883">
        <f t="shared" si="7"/>
        <v>7.685</v>
      </c>
      <c r="X14" s="881">
        <f t="shared" si="8"/>
        <v>1.97</v>
      </c>
      <c r="Y14" s="872">
        <f t="shared" si="9"/>
        <v>0</v>
      </c>
      <c r="Z14" s="872">
        <f t="shared" si="10"/>
        <v>-19508097</v>
      </c>
      <c r="AA14" s="893" t="e">
        <f t="shared" si="11"/>
        <v>#DIV/0!</v>
      </c>
      <c r="AB14" s="872"/>
      <c r="AC14" s="872"/>
      <c r="AD14" s="107"/>
    </row>
    <row r="15" spans="1:30" ht="15">
      <c r="A15" s="899"/>
      <c r="B15" s="912"/>
      <c r="C15" s="874" t="s">
        <v>1187</v>
      </c>
      <c r="D15" s="911"/>
      <c r="E15" s="911"/>
      <c r="F15" s="901">
        <f t="shared" si="0"/>
        <v>1.97</v>
      </c>
      <c r="G15" s="876">
        <f t="shared" si="1"/>
        <v>0</v>
      </c>
      <c r="H15" s="909">
        <f t="shared" si="2"/>
        <v>1.98</v>
      </c>
      <c r="I15" s="876">
        <f t="shared" si="3"/>
        <v>198346</v>
      </c>
      <c r="J15" s="894"/>
      <c r="K15" s="894"/>
      <c r="L15" s="896">
        <f>SUM(L13:L14)</f>
        <v>5117010</v>
      </c>
      <c r="M15" s="903">
        <f>SUM(M13:M14)</f>
        <v>55472839654.604996</v>
      </c>
      <c r="N15" s="895" t="e">
        <f>SUM(N13:N14)</f>
        <v>#DIV/0!</v>
      </c>
      <c r="O15" s="903">
        <v>20904330</v>
      </c>
      <c r="P15" s="889">
        <v>1084930</v>
      </c>
      <c r="Q15" s="904">
        <v>19834600</v>
      </c>
      <c r="R15" s="910">
        <f t="shared" si="4"/>
        <v>5.189977387459918</v>
      </c>
      <c r="S15" s="914">
        <f t="shared" si="5"/>
        <v>2653.65</v>
      </c>
      <c r="T15" s="915"/>
      <c r="U15" s="881">
        <f t="shared" si="6"/>
        <v>10840.869893669349</v>
      </c>
      <c r="V15" s="892">
        <f>V13+V14</f>
        <v>39253313</v>
      </c>
      <c r="W15" s="883">
        <f t="shared" si="7"/>
        <v>7.671</v>
      </c>
      <c r="X15" s="881">
        <f t="shared" si="8"/>
        <v>1.97</v>
      </c>
      <c r="Y15" s="916">
        <f t="shared" si="9"/>
        <v>39074162</v>
      </c>
      <c r="Z15" s="917">
        <f t="shared" si="10"/>
        <v>-179151</v>
      </c>
      <c r="AA15" s="893">
        <f t="shared" si="11"/>
        <v>86.4529776674938</v>
      </c>
      <c r="AB15" s="872">
        <v>31</v>
      </c>
      <c r="AC15" s="872">
        <v>80277552</v>
      </c>
      <c r="AD15" s="107">
        <v>28866667</v>
      </c>
    </row>
    <row r="16" spans="1:30" ht="15">
      <c r="A16" s="1110">
        <v>5</v>
      </c>
      <c r="B16" s="1116" t="s">
        <v>1903</v>
      </c>
      <c r="C16" s="874" t="s">
        <v>1189</v>
      </c>
      <c r="D16" s="911">
        <v>10853.414</v>
      </c>
      <c r="E16" s="911"/>
      <c r="F16" s="901" t="e">
        <f t="shared" si="0"/>
        <v>#DIV/0!</v>
      </c>
      <c r="G16" s="876" t="e">
        <f t="shared" si="1"/>
        <v>#DIV/0!</v>
      </c>
      <c r="H16" s="909" t="e">
        <f t="shared" si="2"/>
        <v>#DIV/0!</v>
      </c>
      <c r="I16" s="876" t="e">
        <f t="shared" si="3"/>
        <v>#DIV/0!</v>
      </c>
      <c r="J16" s="894">
        <v>2558781</v>
      </c>
      <c r="K16" s="895"/>
      <c r="L16" s="896">
        <f t="shared" si="12"/>
        <v>2558781</v>
      </c>
      <c r="M16" s="895">
        <f>D16*J16+E16*K16</f>
        <v>27771509528.334003</v>
      </c>
      <c r="N16" s="895" t="e">
        <f>G16*K16+H16*L16</f>
        <v>#DIV/0!</v>
      </c>
      <c r="O16" s="872"/>
      <c r="P16" s="897"/>
      <c r="Q16" s="904">
        <f t="shared" si="13"/>
        <v>0</v>
      </c>
      <c r="R16" s="910" t="e">
        <f t="shared" si="4"/>
        <v>#DIV/0!</v>
      </c>
      <c r="S16" s="910" t="e">
        <f t="shared" si="5"/>
        <v>#DIV/0!</v>
      </c>
      <c r="T16" s="1118"/>
      <c r="U16" s="881">
        <f t="shared" si="6"/>
        <v>10853.414</v>
      </c>
      <c r="V16" s="872">
        <v>19871054</v>
      </c>
      <c r="W16" s="883">
        <f t="shared" si="7"/>
        <v>7.766</v>
      </c>
      <c r="X16" s="881">
        <f t="shared" si="8"/>
        <v>1.99</v>
      </c>
      <c r="Y16" s="916">
        <f t="shared" si="9"/>
        <v>0</v>
      </c>
      <c r="Z16" s="872">
        <f t="shared" si="10"/>
        <v>-19871054</v>
      </c>
      <c r="AA16" s="893" t="e">
        <f t="shared" si="11"/>
        <v>#DIV/0!</v>
      </c>
      <c r="AB16" s="872"/>
      <c r="AC16" s="872"/>
      <c r="AD16" s="107"/>
    </row>
    <row r="17" spans="1:30" ht="15">
      <c r="A17" s="1112"/>
      <c r="B17" s="1117"/>
      <c r="C17" s="874" t="s">
        <v>1188</v>
      </c>
      <c r="D17" s="894">
        <v>10851.615</v>
      </c>
      <c r="E17" s="894"/>
      <c r="F17" s="901" t="e">
        <f t="shared" si="0"/>
        <v>#DIV/0!</v>
      </c>
      <c r="G17" s="876" t="e">
        <f t="shared" si="1"/>
        <v>#DIV/0!</v>
      </c>
      <c r="H17" s="909" t="e">
        <f t="shared" si="2"/>
        <v>#DIV/0!</v>
      </c>
      <c r="I17" s="876" t="e">
        <f t="shared" si="3"/>
        <v>#DIV/0!</v>
      </c>
      <c r="J17" s="894">
        <v>2712646</v>
      </c>
      <c r="K17" s="894"/>
      <c r="L17" s="896">
        <f>SUM(J17+K17)</f>
        <v>2712646</v>
      </c>
      <c r="M17" s="895">
        <f>D17*J17+E17*K17</f>
        <v>29436590023.29</v>
      </c>
      <c r="N17" s="895" t="e">
        <f>H17*L17</f>
        <v>#DIV/0!</v>
      </c>
      <c r="O17" s="872"/>
      <c r="P17" s="897"/>
      <c r="Q17" s="904">
        <f t="shared" si="13"/>
        <v>0</v>
      </c>
      <c r="R17" s="910" t="e">
        <f t="shared" si="4"/>
        <v>#DIV/0!</v>
      </c>
      <c r="S17" s="910" t="e">
        <f t="shared" si="5"/>
        <v>#DIV/0!</v>
      </c>
      <c r="T17" s="1119"/>
      <c r="U17" s="881">
        <f t="shared" si="6"/>
        <v>10851.615</v>
      </c>
      <c r="V17" s="872">
        <v>21062447</v>
      </c>
      <c r="W17" s="883">
        <f t="shared" si="7"/>
        <v>7.765</v>
      </c>
      <c r="X17" s="881">
        <f t="shared" si="8"/>
        <v>1.99</v>
      </c>
      <c r="Y17" s="916">
        <f t="shared" si="9"/>
        <v>0</v>
      </c>
      <c r="Z17" s="872">
        <f t="shared" si="10"/>
        <v>-21062447</v>
      </c>
      <c r="AA17" s="893" t="e">
        <f t="shared" si="11"/>
        <v>#DIV/0!</v>
      </c>
      <c r="AB17" s="872"/>
      <c r="AC17" s="872"/>
      <c r="AD17" s="107"/>
    </row>
    <row r="18" spans="1:30" ht="15">
      <c r="A18" s="899"/>
      <c r="B18" s="900"/>
      <c r="C18" s="874" t="s">
        <v>1187</v>
      </c>
      <c r="D18" s="894"/>
      <c r="E18" s="894"/>
      <c r="F18" s="901">
        <f t="shared" si="0"/>
        <v>2</v>
      </c>
      <c r="G18" s="876">
        <f t="shared" si="1"/>
        <v>207136</v>
      </c>
      <c r="H18" s="909">
        <f t="shared" si="2"/>
        <v>1.97</v>
      </c>
      <c r="I18" s="876">
        <f t="shared" si="3"/>
        <v>-414272</v>
      </c>
      <c r="J18" s="901"/>
      <c r="K18" s="894"/>
      <c r="L18" s="896">
        <f>SUM(L16:L17)</f>
        <v>5271427</v>
      </c>
      <c r="M18" s="918">
        <f>SUM(M16:M17)</f>
        <v>57208099551.62401</v>
      </c>
      <c r="N18" s="919" t="e">
        <f>SUM(N16:N17)</f>
        <v>#DIV/0!</v>
      </c>
      <c r="O18" s="918">
        <v>21885740</v>
      </c>
      <c r="P18" s="889">
        <v>1172140</v>
      </c>
      <c r="Q18" s="904">
        <f t="shared" si="13"/>
        <v>20713600</v>
      </c>
      <c r="R18" s="910">
        <f t="shared" si="4"/>
        <v>5.35572477786906</v>
      </c>
      <c r="S18" s="914">
        <f t="shared" si="5"/>
        <v>2613.94</v>
      </c>
      <c r="T18" s="908"/>
      <c r="U18" s="881">
        <f t="shared" si="6"/>
        <v>10852.48824495227</v>
      </c>
      <c r="V18" s="892">
        <f>V16+V17</f>
        <v>40933501</v>
      </c>
      <c r="W18" s="883">
        <f t="shared" si="7"/>
        <v>7.765</v>
      </c>
      <c r="X18" s="881">
        <f t="shared" si="8"/>
        <v>1.99</v>
      </c>
      <c r="Y18" s="916">
        <f t="shared" si="9"/>
        <v>41220064</v>
      </c>
      <c r="Z18" s="917">
        <f t="shared" si="10"/>
        <v>286563</v>
      </c>
      <c r="AA18" s="893">
        <f t="shared" si="11"/>
        <v>90.51174524400331</v>
      </c>
      <c r="AB18" s="872">
        <v>31</v>
      </c>
      <c r="AC18" s="872">
        <v>82453398</v>
      </c>
      <c r="AD18" s="107">
        <v>28866667</v>
      </c>
    </row>
    <row r="19" spans="1:29" ht="15">
      <c r="A19" s="1110">
        <v>6</v>
      </c>
      <c r="B19" s="1116" t="s">
        <v>1904</v>
      </c>
      <c r="C19" s="874" t="s">
        <v>1189</v>
      </c>
      <c r="D19" s="906">
        <v>10880.324</v>
      </c>
      <c r="E19" s="906">
        <v>0</v>
      </c>
      <c r="F19" s="901" t="e">
        <f t="shared" si="0"/>
        <v>#DIV/0!</v>
      </c>
      <c r="G19" s="876" t="e">
        <f t="shared" si="1"/>
        <v>#DIV/0!</v>
      </c>
      <c r="H19" s="909" t="e">
        <f t="shared" si="2"/>
        <v>#DIV/0!</v>
      </c>
      <c r="I19" s="876" t="e">
        <f t="shared" si="3"/>
        <v>#DIV/0!</v>
      </c>
      <c r="J19" s="907">
        <v>2552574</v>
      </c>
      <c r="K19" s="894"/>
      <c r="L19" s="896">
        <f>J19+K19</f>
        <v>2552574</v>
      </c>
      <c r="M19" s="895">
        <f>D19*J19+E19*K19</f>
        <v>27772832153.976</v>
      </c>
      <c r="N19" s="895"/>
      <c r="O19" s="872"/>
      <c r="P19" s="897"/>
      <c r="Q19" s="904">
        <f t="shared" si="13"/>
        <v>0</v>
      </c>
      <c r="R19" s="910" t="e">
        <f t="shared" si="4"/>
        <v>#DIV/0!</v>
      </c>
      <c r="S19" s="914" t="e">
        <f t="shared" si="5"/>
        <v>#DIV/0!</v>
      </c>
      <c r="T19" s="1120"/>
      <c r="U19" s="881">
        <f t="shared" si="6"/>
        <v>10880.324</v>
      </c>
      <c r="V19" s="898">
        <v>19792547</v>
      </c>
      <c r="W19" s="883">
        <f t="shared" si="7"/>
        <v>7.754</v>
      </c>
      <c r="X19" s="881">
        <f t="shared" si="8"/>
        <v>1.98</v>
      </c>
      <c r="Y19" s="916">
        <f t="shared" si="9"/>
        <v>0</v>
      </c>
      <c r="Z19" s="917">
        <f t="shared" si="10"/>
        <v>-19792547</v>
      </c>
      <c r="AA19" s="893" t="e">
        <f t="shared" si="11"/>
        <v>#DIV/0!</v>
      </c>
      <c r="AB19" s="872"/>
      <c r="AC19" s="872"/>
    </row>
    <row r="20" spans="1:29" ht="15">
      <c r="A20" s="1112"/>
      <c r="B20" s="1117"/>
      <c r="C20" s="874" t="s">
        <v>1188</v>
      </c>
      <c r="D20" s="907">
        <v>10897.206</v>
      </c>
      <c r="E20" s="907"/>
      <c r="F20" s="901" t="e">
        <f t="shared" si="0"/>
        <v>#DIV/0!</v>
      </c>
      <c r="G20" s="876" t="e">
        <f t="shared" si="1"/>
        <v>#DIV/0!</v>
      </c>
      <c r="H20" s="909" t="e">
        <f t="shared" si="2"/>
        <v>#DIV/0!</v>
      </c>
      <c r="I20" s="876" t="e">
        <f t="shared" si="3"/>
        <v>#DIV/0!</v>
      </c>
      <c r="J20" s="894">
        <v>2555144</v>
      </c>
      <c r="K20" s="894"/>
      <c r="L20" s="896">
        <f>J20+K20</f>
        <v>2555144</v>
      </c>
      <c r="M20" s="895">
        <f>D20*J20+E20*K20</f>
        <v>27843930527.664</v>
      </c>
      <c r="N20" s="895"/>
      <c r="O20" s="872"/>
      <c r="P20" s="889"/>
      <c r="Q20" s="904">
        <f t="shared" si="13"/>
        <v>0</v>
      </c>
      <c r="R20" s="910" t="e">
        <f t="shared" si="4"/>
        <v>#DIV/0!</v>
      </c>
      <c r="S20" s="914" t="e">
        <f t="shared" si="5"/>
        <v>#DIV/0!</v>
      </c>
      <c r="T20" s="1120"/>
      <c r="U20" s="881">
        <f t="shared" si="6"/>
        <v>10897.206</v>
      </c>
      <c r="V20" s="892">
        <v>19843244</v>
      </c>
      <c r="W20" s="883">
        <f t="shared" si="7"/>
        <v>7.766</v>
      </c>
      <c r="X20" s="881">
        <f t="shared" si="8"/>
        <v>1.98</v>
      </c>
      <c r="Y20" s="916">
        <f t="shared" si="9"/>
        <v>0</v>
      </c>
      <c r="Z20" s="917">
        <f t="shared" si="10"/>
        <v>-19843244</v>
      </c>
      <c r="AA20" s="893" t="e">
        <f t="shared" si="11"/>
        <v>#DIV/0!</v>
      </c>
      <c r="AB20" s="872"/>
      <c r="AC20" s="872"/>
    </row>
    <row r="21" spans="1:30" ht="15">
      <c r="A21" s="899"/>
      <c r="B21" s="900"/>
      <c r="C21" s="874" t="s">
        <v>1187</v>
      </c>
      <c r="D21" s="907"/>
      <c r="E21" s="907"/>
      <c r="F21" s="901">
        <f t="shared" si="0"/>
        <v>1.99</v>
      </c>
      <c r="G21" s="876">
        <f t="shared" si="1"/>
        <v>200738</v>
      </c>
      <c r="H21" s="909">
        <f t="shared" si="2"/>
        <v>1.97</v>
      </c>
      <c r="I21" s="876">
        <f t="shared" si="3"/>
        <v>-200738</v>
      </c>
      <c r="J21" s="894"/>
      <c r="K21" s="894"/>
      <c r="L21" s="902">
        <f>L19+L20</f>
        <v>5107718</v>
      </c>
      <c r="M21" s="902">
        <f>M19+M20</f>
        <v>55616762681.64</v>
      </c>
      <c r="N21" s="895"/>
      <c r="O21" s="882">
        <v>21203500</v>
      </c>
      <c r="P21" s="889">
        <v>1129700</v>
      </c>
      <c r="Q21" s="904">
        <f t="shared" si="13"/>
        <v>20073800</v>
      </c>
      <c r="R21" s="910">
        <f t="shared" si="4"/>
        <v>5.327893979767492</v>
      </c>
      <c r="S21" s="914">
        <f t="shared" si="5"/>
        <v>2623</v>
      </c>
      <c r="T21" s="920"/>
      <c r="U21" s="881">
        <f t="shared" si="6"/>
        <v>10888.76924717457</v>
      </c>
      <c r="V21" s="892">
        <f>V19+V20</f>
        <v>39635791</v>
      </c>
      <c r="W21" s="883">
        <f t="shared" si="7"/>
        <v>7.76</v>
      </c>
      <c r="X21" s="881">
        <f t="shared" si="8"/>
        <v>1.98</v>
      </c>
      <c r="Y21" s="916">
        <f t="shared" si="9"/>
        <v>39746124</v>
      </c>
      <c r="Z21" s="917">
        <f t="shared" si="10"/>
        <v>110333</v>
      </c>
      <c r="AA21" s="893">
        <f t="shared" si="11"/>
        <v>90.61324786324786</v>
      </c>
      <c r="AB21" s="872">
        <v>30</v>
      </c>
      <c r="AC21" s="872">
        <v>80979456</v>
      </c>
      <c r="AD21" s="107">
        <v>28866667</v>
      </c>
    </row>
    <row r="22" spans="1:29" ht="15">
      <c r="A22" s="921">
        <v>7</v>
      </c>
      <c r="B22" s="922" t="s">
        <v>1905</v>
      </c>
      <c r="C22" s="874" t="s">
        <v>1189</v>
      </c>
      <c r="D22" s="153"/>
      <c r="E22" s="153">
        <v>0</v>
      </c>
      <c r="F22" s="901" t="e">
        <f t="shared" si="0"/>
        <v>#DIV/0!</v>
      </c>
      <c r="G22" s="876" t="e">
        <f t="shared" si="1"/>
        <v>#DIV/0!</v>
      </c>
      <c r="H22" s="909" t="e">
        <f t="shared" si="2"/>
        <v>#DIV/0!</v>
      </c>
      <c r="I22" s="876" t="e">
        <f t="shared" si="3"/>
        <v>#DIV/0!</v>
      </c>
      <c r="J22" s="153"/>
      <c r="K22" s="153"/>
      <c r="L22" s="902">
        <f>J22+K22</f>
        <v>0</v>
      </c>
      <c r="M22" s="902">
        <f>D22*J22+E22*K22</f>
        <v>0</v>
      </c>
      <c r="N22" s="923"/>
      <c r="O22" s="894"/>
      <c r="P22" s="889"/>
      <c r="Q22" s="904">
        <f t="shared" si="13"/>
        <v>0</v>
      </c>
      <c r="R22" s="910" t="e">
        <f t="shared" si="4"/>
        <v>#DIV/0!</v>
      </c>
      <c r="S22" s="914" t="e">
        <f t="shared" si="5"/>
        <v>#DIV/0!</v>
      </c>
      <c r="T22" s="920"/>
      <c r="U22" s="881" t="e">
        <f t="shared" si="6"/>
        <v>#DIV/0!</v>
      </c>
      <c r="V22" s="892"/>
      <c r="W22" s="883" t="e">
        <f t="shared" si="7"/>
        <v>#DIV/0!</v>
      </c>
      <c r="X22" s="881" t="e">
        <f t="shared" si="8"/>
        <v>#DIV/0!</v>
      </c>
      <c r="Y22" s="916" t="e">
        <f t="shared" si="9"/>
        <v>#DIV/0!</v>
      </c>
      <c r="Z22" s="917" t="e">
        <f t="shared" si="10"/>
        <v>#DIV/0!</v>
      </c>
      <c r="AA22" s="893" t="e">
        <f t="shared" si="11"/>
        <v>#DIV/0!</v>
      </c>
      <c r="AB22" s="872"/>
      <c r="AC22" s="872"/>
    </row>
    <row r="23" spans="1:29" ht="15">
      <c r="A23" s="1121"/>
      <c r="B23" s="1122"/>
      <c r="C23" s="874" t="s">
        <v>1188</v>
      </c>
      <c r="D23" s="153"/>
      <c r="E23" s="153">
        <v>0</v>
      </c>
      <c r="F23" s="901" t="e">
        <f t="shared" si="0"/>
        <v>#DIV/0!</v>
      </c>
      <c r="G23" s="876" t="e">
        <f t="shared" si="1"/>
        <v>#DIV/0!</v>
      </c>
      <c r="H23" s="909" t="e">
        <f t="shared" si="2"/>
        <v>#DIV/0!</v>
      </c>
      <c r="I23" s="876" t="e">
        <f t="shared" si="3"/>
        <v>#DIV/0!</v>
      </c>
      <c r="J23" s="153"/>
      <c r="K23" s="153"/>
      <c r="L23" s="902">
        <f>J23+K23</f>
        <v>0</v>
      </c>
      <c r="M23" s="902">
        <f>D23*J23+E23*K23</f>
        <v>0</v>
      </c>
      <c r="N23" s="895"/>
      <c r="O23" s="872"/>
      <c r="P23" s="889"/>
      <c r="Q23" s="904">
        <f t="shared" si="13"/>
        <v>0</v>
      </c>
      <c r="R23" s="910" t="e">
        <f t="shared" si="4"/>
        <v>#DIV/0!</v>
      </c>
      <c r="S23" s="914" t="e">
        <f t="shared" si="5"/>
        <v>#DIV/0!</v>
      </c>
      <c r="T23" s="1120"/>
      <c r="U23" s="881" t="e">
        <f t="shared" si="6"/>
        <v>#DIV/0!</v>
      </c>
      <c r="V23" s="892"/>
      <c r="W23" s="883" t="e">
        <f t="shared" si="7"/>
        <v>#DIV/0!</v>
      </c>
      <c r="X23" s="881" t="e">
        <f t="shared" si="8"/>
        <v>#DIV/0!</v>
      </c>
      <c r="Y23" s="916" t="e">
        <f t="shared" si="9"/>
        <v>#DIV/0!</v>
      </c>
      <c r="Z23" s="917" t="e">
        <f t="shared" si="10"/>
        <v>#DIV/0!</v>
      </c>
      <c r="AA23" s="893" t="e">
        <f t="shared" si="11"/>
        <v>#DIV/0!</v>
      </c>
      <c r="AB23" s="872"/>
      <c r="AC23" s="872"/>
    </row>
    <row r="24" spans="1:30" ht="15">
      <c r="A24" s="1121"/>
      <c r="B24" s="1122"/>
      <c r="C24" s="874" t="s">
        <v>1187</v>
      </c>
      <c r="D24" s="894"/>
      <c r="E24" s="894"/>
      <c r="F24" s="901" t="e">
        <f t="shared" si="0"/>
        <v>#DIV/0!</v>
      </c>
      <c r="G24" s="876" t="e">
        <f t="shared" si="1"/>
        <v>#DIV/0!</v>
      </c>
      <c r="H24" s="909" t="e">
        <f t="shared" si="2"/>
        <v>#DIV/0!</v>
      </c>
      <c r="I24" s="876" t="e">
        <f t="shared" si="3"/>
        <v>#DIV/0!</v>
      </c>
      <c r="J24" s="894"/>
      <c r="K24" s="894"/>
      <c r="L24" s="902">
        <f aca="true" t="shared" si="14" ref="L24:M27">L22+L23</f>
        <v>0</v>
      </c>
      <c r="M24" s="902">
        <f t="shared" si="14"/>
        <v>0</v>
      </c>
      <c r="N24" s="895"/>
      <c r="O24" s="917"/>
      <c r="P24" s="889"/>
      <c r="Q24" s="904">
        <f t="shared" si="13"/>
        <v>0</v>
      </c>
      <c r="R24" s="910" t="e">
        <f t="shared" si="4"/>
        <v>#DIV/0!</v>
      </c>
      <c r="S24" s="914" t="e">
        <f t="shared" si="5"/>
        <v>#DIV/0!</v>
      </c>
      <c r="T24" s="1120"/>
      <c r="U24" s="881" t="e">
        <f t="shared" si="6"/>
        <v>#DIV/0!</v>
      </c>
      <c r="V24" s="892"/>
      <c r="W24" s="883" t="e">
        <f t="shared" si="7"/>
        <v>#DIV/0!</v>
      </c>
      <c r="X24" s="881" t="e">
        <f t="shared" si="8"/>
        <v>#DIV/0!</v>
      </c>
      <c r="Y24" s="916" t="e">
        <f t="shared" si="9"/>
        <v>#DIV/0!</v>
      </c>
      <c r="Z24" s="917" t="e">
        <f t="shared" si="10"/>
        <v>#DIV/0!</v>
      </c>
      <c r="AA24" s="893">
        <f t="shared" si="11"/>
        <v>0</v>
      </c>
      <c r="AB24" s="872">
        <v>31</v>
      </c>
      <c r="AC24" s="872"/>
      <c r="AD24" s="107"/>
    </row>
    <row r="25" spans="1:30" ht="15">
      <c r="A25" s="854">
        <v>8</v>
      </c>
      <c r="B25" s="926" t="s">
        <v>1906</v>
      </c>
      <c r="C25" s="874" t="s">
        <v>1189</v>
      </c>
      <c r="D25" s="894"/>
      <c r="E25" s="894">
        <v>0</v>
      </c>
      <c r="F25" s="901" t="e">
        <f t="shared" si="0"/>
        <v>#DIV/0!</v>
      </c>
      <c r="G25" s="876" t="e">
        <f t="shared" si="1"/>
        <v>#DIV/0!</v>
      </c>
      <c r="H25" s="909" t="e">
        <f t="shared" si="2"/>
        <v>#DIV/0!</v>
      </c>
      <c r="I25" s="876" t="e">
        <f t="shared" si="3"/>
        <v>#DIV/0!</v>
      </c>
      <c r="J25" s="894"/>
      <c r="K25" s="894"/>
      <c r="L25" s="902">
        <f>J25+K25</f>
        <v>0</v>
      </c>
      <c r="M25" s="902">
        <f>D25*J25+E25*K25</f>
        <v>0</v>
      </c>
      <c r="N25" s="923"/>
      <c r="O25" s="894"/>
      <c r="P25" s="889"/>
      <c r="Q25" s="904">
        <f t="shared" si="13"/>
        <v>0</v>
      </c>
      <c r="R25" s="910" t="e">
        <f t="shared" si="4"/>
        <v>#DIV/0!</v>
      </c>
      <c r="S25" s="914" t="e">
        <f t="shared" si="5"/>
        <v>#DIV/0!</v>
      </c>
      <c r="T25" s="920"/>
      <c r="U25" s="881" t="e">
        <f t="shared" si="6"/>
        <v>#DIV/0!</v>
      </c>
      <c r="V25" s="892"/>
      <c r="W25" s="883" t="e">
        <f t="shared" si="7"/>
        <v>#DIV/0!</v>
      </c>
      <c r="X25" s="881" t="e">
        <f t="shared" si="8"/>
        <v>#DIV/0!</v>
      </c>
      <c r="Y25" s="916" t="e">
        <f t="shared" si="9"/>
        <v>#DIV/0!</v>
      </c>
      <c r="Z25" s="917" t="e">
        <f t="shared" si="10"/>
        <v>#DIV/0!</v>
      </c>
      <c r="AA25" s="893" t="e">
        <f t="shared" si="11"/>
        <v>#DIV/0!</v>
      </c>
      <c r="AB25" s="872">
        <v>0</v>
      </c>
      <c r="AC25" s="872"/>
      <c r="AD25" s="107"/>
    </row>
    <row r="26" spans="1:30" ht="15">
      <c r="A26" s="854"/>
      <c r="B26" s="1113"/>
      <c r="C26" s="874" t="s">
        <v>1188</v>
      </c>
      <c r="D26" s="876"/>
      <c r="E26" s="876">
        <v>0</v>
      </c>
      <c r="F26" s="901" t="e">
        <f t="shared" si="0"/>
        <v>#DIV/0!</v>
      </c>
      <c r="G26" s="876" t="e">
        <f t="shared" si="1"/>
        <v>#DIV/0!</v>
      </c>
      <c r="H26" s="909" t="e">
        <f t="shared" si="2"/>
        <v>#DIV/0!</v>
      </c>
      <c r="I26" s="876" t="e">
        <f t="shared" si="3"/>
        <v>#DIV/0!</v>
      </c>
      <c r="J26" s="876"/>
      <c r="K26" s="876"/>
      <c r="L26" s="902">
        <f>J26+K26</f>
        <v>0</v>
      </c>
      <c r="M26" s="902">
        <f>D26*J26+E26*K26</f>
        <v>0</v>
      </c>
      <c r="N26" s="887"/>
      <c r="O26" s="876"/>
      <c r="P26" s="889"/>
      <c r="Q26" s="904">
        <f t="shared" si="13"/>
        <v>0</v>
      </c>
      <c r="R26" s="910" t="e">
        <f t="shared" si="4"/>
        <v>#DIV/0!</v>
      </c>
      <c r="S26" s="914" t="e">
        <f t="shared" si="5"/>
        <v>#DIV/0!</v>
      </c>
      <c r="T26" s="929"/>
      <c r="U26" s="881" t="e">
        <f t="shared" si="6"/>
        <v>#DIV/0!</v>
      </c>
      <c r="V26" s="892"/>
      <c r="W26" s="883" t="e">
        <f t="shared" si="7"/>
        <v>#DIV/0!</v>
      </c>
      <c r="X26" s="881" t="e">
        <f t="shared" si="8"/>
        <v>#DIV/0!</v>
      </c>
      <c r="Y26" s="916" t="e">
        <f t="shared" si="9"/>
        <v>#DIV/0!</v>
      </c>
      <c r="Z26" s="917" t="e">
        <f t="shared" si="10"/>
        <v>#DIV/0!</v>
      </c>
      <c r="AA26" s="893" t="e">
        <f t="shared" si="11"/>
        <v>#DIV/0!</v>
      </c>
      <c r="AB26" s="872">
        <v>0</v>
      </c>
      <c r="AC26" s="873"/>
      <c r="AD26" s="107"/>
    </row>
    <row r="27" spans="1:30" ht="15">
      <c r="A27" s="854"/>
      <c r="B27" s="1115"/>
      <c r="C27" s="874" t="s">
        <v>1187</v>
      </c>
      <c r="D27" s="875"/>
      <c r="E27" s="875"/>
      <c r="F27" s="901" t="e">
        <f t="shared" si="0"/>
        <v>#DIV/0!</v>
      </c>
      <c r="G27" s="876" t="e">
        <f t="shared" si="1"/>
        <v>#DIV/0!</v>
      </c>
      <c r="H27" s="909" t="e">
        <f t="shared" si="2"/>
        <v>#DIV/0!</v>
      </c>
      <c r="I27" s="876" t="e">
        <f t="shared" si="3"/>
        <v>#DIV/0!</v>
      </c>
      <c r="J27" s="876"/>
      <c r="K27" s="876"/>
      <c r="L27" s="902">
        <f t="shared" si="14"/>
        <v>0</v>
      </c>
      <c r="M27" s="902">
        <f t="shared" si="14"/>
        <v>0</v>
      </c>
      <c r="N27" s="887"/>
      <c r="O27" s="887"/>
      <c r="P27" s="889"/>
      <c r="Q27" s="904">
        <f t="shared" si="13"/>
        <v>0</v>
      </c>
      <c r="R27" s="910" t="e">
        <f t="shared" si="4"/>
        <v>#DIV/0!</v>
      </c>
      <c r="S27" s="914" t="e">
        <f t="shared" si="5"/>
        <v>#DIV/0!</v>
      </c>
      <c r="T27" s="929"/>
      <c r="U27" s="881" t="e">
        <f t="shared" si="6"/>
        <v>#DIV/0!</v>
      </c>
      <c r="V27" s="892"/>
      <c r="W27" s="883" t="e">
        <f t="shared" si="7"/>
        <v>#DIV/0!</v>
      </c>
      <c r="X27" s="881" t="e">
        <f t="shared" si="8"/>
        <v>#DIV/0!</v>
      </c>
      <c r="Y27" s="916" t="e">
        <f t="shared" si="9"/>
        <v>#DIV/0!</v>
      </c>
      <c r="Z27" s="917" t="e">
        <f t="shared" si="10"/>
        <v>#DIV/0!</v>
      </c>
      <c r="AA27" s="893">
        <f t="shared" si="11"/>
        <v>0</v>
      </c>
      <c r="AB27" s="872">
        <v>30</v>
      </c>
      <c r="AC27" s="873"/>
      <c r="AD27" s="107"/>
    </row>
    <row r="28" spans="1:30" ht="15">
      <c r="A28" s="1121">
        <v>9</v>
      </c>
      <c r="B28" s="1122" t="s">
        <v>1907</v>
      </c>
      <c r="C28" s="874" t="s">
        <v>1189</v>
      </c>
      <c r="D28" s="894"/>
      <c r="E28" s="876">
        <v>0</v>
      </c>
      <c r="F28" s="901" t="e">
        <f t="shared" si="0"/>
        <v>#DIV/0!</v>
      </c>
      <c r="G28" s="876" t="e">
        <f t="shared" si="1"/>
        <v>#DIV/0!</v>
      </c>
      <c r="H28" s="909" t="e">
        <f t="shared" si="2"/>
        <v>#DIV/0!</v>
      </c>
      <c r="I28" s="876" t="e">
        <f t="shared" si="3"/>
        <v>#DIV/0!</v>
      </c>
      <c r="J28" s="876"/>
      <c r="K28" s="875"/>
      <c r="L28" s="876">
        <f>J28+K28</f>
        <v>0</v>
      </c>
      <c r="M28" s="902">
        <f aca="true" t="shared" si="15" ref="M28:M38">D28*J28+E28*K28</f>
        <v>0</v>
      </c>
      <c r="N28" s="877"/>
      <c r="O28" s="873"/>
      <c r="P28" s="889"/>
      <c r="Q28" s="904">
        <f t="shared" si="13"/>
        <v>0</v>
      </c>
      <c r="R28" s="910" t="e">
        <f t="shared" si="4"/>
        <v>#DIV/0!</v>
      </c>
      <c r="S28" s="914" t="e">
        <f t="shared" si="5"/>
        <v>#DIV/0!</v>
      </c>
      <c r="T28" s="1123"/>
      <c r="U28" s="881" t="e">
        <f t="shared" si="6"/>
        <v>#DIV/0!</v>
      </c>
      <c r="V28" s="892"/>
      <c r="W28" s="883" t="e">
        <f t="shared" si="7"/>
        <v>#DIV/0!</v>
      </c>
      <c r="X28" s="881" t="e">
        <f t="shared" si="8"/>
        <v>#DIV/0!</v>
      </c>
      <c r="Y28" s="916" t="e">
        <f t="shared" si="9"/>
        <v>#DIV/0!</v>
      </c>
      <c r="Z28" s="917" t="e">
        <f t="shared" si="10"/>
        <v>#DIV/0!</v>
      </c>
      <c r="AA28" s="893" t="e">
        <f t="shared" si="11"/>
        <v>#DIV/0!</v>
      </c>
      <c r="AB28" s="872">
        <v>0</v>
      </c>
      <c r="AC28" s="873"/>
      <c r="AD28" s="107"/>
    </row>
    <row r="29" spans="1:30" ht="15">
      <c r="A29" s="1121"/>
      <c r="B29" s="1122"/>
      <c r="C29" s="874" t="s">
        <v>1188</v>
      </c>
      <c r="D29" s="894"/>
      <c r="E29" s="875">
        <v>0</v>
      </c>
      <c r="F29" s="901" t="e">
        <f t="shared" si="0"/>
        <v>#DIV/0!</v>
      </c>
      <c r="G29" s="876" t="e">
        <f t="shared" si="1"/>
        <v>#DIV/0!</v>
      </c>
      <c r="H29" s="909" t="e">
        <f t="shared" si="2"/>
        <v>#DIV/0!</v>
      </c>
      <c r="I29" s="876" t="e">
        <f t="shared" si="3"/>
        <v>#DIV/0!</v>
      </c>
      <c r="J29" s="876"/>
      <c r="K29" s="875"/>
      <c r="L29" s="876">
        <f aca="true" t="shared" si="16" ref="L29:L38">J29+K29</f>
        <v>0</v>
      </c>
      <c r="M29" s="902">
        <f t="shared" si="15"/>
        <v>0</v>
      </c>
      <c r="N29" s="877"/>
      <c r="O29" s="873"/>
      <c r="P29" s="889"/>
      <c r="Q29" s="904">
        <f t="shared" si="13"/>
        <v>0</v>
      </c>
      <c r="R29" s="910" t="e">
        <f t="shared" si="4"/>
        <v>#DIV/0!</v>
      </c>
      <c r="S29" s="914" t="e">
        <f t="shared" si="5"/>
        <v>#DIV/0!</v>
      </c>
      <c r="T29" s="1123"/>
      <c r="U29" s="881" t="e">
        <f t="shared" si="6"/>
        <v>#DIV/0!</v>
      </c>
      <c r="V29" s="892"/>
      <c r="W29" s="883" t="e">
        <f t="shared" si="7"/>
        <v>#DIV/0!</v>
      </c>
      <c r="X29" s="881" t="e">
        <f t="shared" si="8"/>
        <v>#DIV/0!</v>
      </c>
      <c r="Y29" s="916" t="e">
        <f t="shared" si="9"/>
        <v>#DIV/0!</v>
      </c>
      <c r="Z29" s="917" t="e">
        <f t="shared" si="10"/>
        <v>#DIV/0!</v>
      </c>
      <c r="AA29" s="893" t="e">
        <f t="shared" si="11"/>
        <v>#DIV/0!</v>
      </c>
      <c r="AB29" s="872">
        <v>0</v>
      </c>
      <c r="AC29" s="873"/>
      <c r="AD29" s="107"/>
    </row>
    <row r="30" spans="1:30" ht="15">
      <c r="A30" s="854"/>
      <c r="B30" s="926"/>
      <c r="C30" s="874" t="s">
        <v>1187</v>
      </c>
      <c r="D30" s="875"/>
      <c r="E30" s="875"/>
      <c r="F30" s="901" t="e">
        <f t="shared" si="0"/>
        <v>#DIV/0!</v>
      </c>
      <c r="G30" s="876" t="e">
        <f t="shared" si="1"/>
        <v>#DIV/0!</v>
      </c>
      <c r="H30" s="909" t="e">
        <f t="shared" si="2"/>
        <v>#DIV/0!</v>
      </c>
      <c r="I30" s="876" t="e">
        <f t="shared" si="3"/>
        <v>#DIV/0!</v>
      </c>
      <c r="J30" s="876"/>
      <c r="K30" s="875"/>
      <c r="L30" s="887">
        <f>L28+L29</f>
        <v>0</v>
      </c>
      <c r="M30" s="876">
        <f>M28+M29</f>
        <v>0</v>
      </c>
      <c r="N30" s="887"/>
      <c r="O30" s="887"/>
      <c r="P30" s="889"/>
      <c r="Q30" s="904">
        <f t="shared" si="13"/>
        <v>0</v>
      </c>
      <c r="R30" s="910" t="e">
        <f t="shared" si="4"/>
        <v>#DIV/0!</v>
      </c>
      <c r="S30" s="914" t="e">
        <f t="shared" si="5"/>
        <v>#DIV/0!</v>
      </c>
      <c r="T30" s="929"/>
      <c r="U30" s="881" t="e">
        <f t="shared" si="6"/>
        <v>#DIV/0!</v>
      </c>
      <c r="V30" s="892"/>
      <c r="W30" s="883" t="e">
        <f t="shared" si="7"/>
        <v>#DIV/0!</v>
      </c>
      <c r="X30" s="881" t="e">
        <f t="shared" si="8"/>
        <v>#DIV/0!</v>
      </c>
      <c r="Y30" s="916" t="e">
        <f t="shared" si="9"/>
        <v>#DIV/0!</v>
      </c>
      <c r="Z30" s="917" t="e">
        <f t="shared" si="10"/>
        <v>#DIV/0!</v>
      </c>
      <c r="AA30" s="893">
        <f t="shared" si="11"/>
        <v>0</v>
      </c>
      <c r="AB30" s="872">
        <v>31</v>
      </c>
      <c r="AC30" s="873"/>
      <c r="AD30" s="107"/>
    </row>
    <row r="31" spans="1:30" ht="15">
      <c r="A31" s="1121">
        <v>10</v>
      </c>
      <c r="B31" s="1122" t="s">
        <v>1908</v>
      </c>
      <c r="C31" s="874" t="s">
        <v>1189</v>
      </c>
      <c r="D31" s="875"/>
      <c r="E31" s="875">
        <v>0</v>
      </c>
      <c r="F31" s="901" t="e">
        <f t="shared" si="0"/>
        <v>#DIV/0!</v>
      </c>
      <c r="G31" s="876" t="e">
        <f t="shared" si="1"/>
        <v>#DIV/0!</v>
      </c>
      <c r="H31" s="909" t="e">
        <f t="shared" si="2"/>
        <v>#DIV/0!</v>
      </c>
      <c r="I31" s="876" t="e">
        <f t="shared" si="3"/>
        <v>#DIV/0!</v>
      </c>
      <c r="J31" s="875"/>
      <c r="K31" s="875"/>
      <c r="L31" s="876">
        <f t="shared" si="16"/>
        <v>0</v>
      </c>
      <c r="M31" s="902">
        <f t="shared" si="15"/>
        <v>0</v>
      </c>
      <c r="N31" s="877"/>
      <c r="O31" s="873"/>
      <c r="P31" s="889"/>
      <c r="Q31" s="904">
        <f t="shared" si="13"/>
        <v>0</v>
      </c>
      <c r="R31" s="910" t="e">
        <f t="shared" si="4"/>
        <v>#DIV/0!</v>
      </c>
      <c r="S31" s="914" t="e">
        <f t="shared" si="5"/>
        <v>#DIV/0!</v>
      </c>
      <c r="T31" s="1123"/>
      <c r="U31" s="881" t="e">
        <f t="shared" si="6"/>
        <v>#DIV/0!</v>
      </c>
      <c r="V31" s="892"/>
      <c r="W31" s="883" t="e">
        <f t="shared" si="7"/>
        <v>#DIV/0!</v>
      </c>
      <c r="X31" s="881" t="e">
        <f t="shared" si="8"/>
        <v>#DIV/0!</v>
      </c>
      <c r="Y31" s="916"/>
      <c r="Z31" s="917">
        <f t="shared" si="10"/>
        <v>0</v>
      </c>
      <c r="AA31" s="893" t="e">
        <f t="shared" si="11"/>
        <v>#DIV/0!</v>
      </c>
      <c r="AB31" s="872">
        <v>0</v>
      </c>
      <c r="AC31" s="873"/>
      <c r="AD31" s="107"/>
    </row>
    <row r="32" spans="1:30" ht="15">
      <c r="A32" s="1121"/>
      <c r="B32" s="1122"/>
      <c r="C32" s="874" t="s">
        <v>1188</v>
      </c>
      <c r="D32" s="931"/>
      <c r="E32" s="931">
        <v>0</v>
      </c>
      <c r="F32" s="901" t="e">
        <f t="shared" si="0"/>
        <v>#DIV/0!</v>
      </c>
      <c r="G32" s="876" t="e">
        <f t="shared" si="1"/>
        <v>#DIV/0!</v>
      </c>
      <c r="H32" s="909" t="e">
        <f t="shared" si="2"/>
        <v>#DIV/0!</v>
      </c>
      <c r="I32" s="876" t="e">
        <f t="shared" si="3"/>
        <v>#DIV/0!</v>
      </c>
      <c r="J32" s="875"/>
      <c r="K32" s="875"/>
      <c r="L32" s="876">
        <f t="shared" si="16"/>
        <v>0</v>
      </c>
      <c r="M32" s="902">
        <f t="shared" si="15"/>
        <v>0</v>
      </c>
      <c r="N32" s="877"/>
      <c r="O32" s="873"/>
      <c r="P32" s="889"/>
      <c r="Q32" s="904">
        <f t="shared" si="13"/>
        <v>0</v>
      </c>
      <c r="R32" s="910" t="e">
        <f t="shared" si="4"/>
        <v>#DIV/0!</v>
      </c>
      <c r="S32" s="914" t="e">
        <f t="shared" si="5"/>
        <v>#DIV/0!</v>
      </c>
      <c r="T32" s="1123"/>
      <c r="U32" s="881" t="e">
        <f t="shared" si="6"/>
        <v>#DIV/0!</v>
      </c>
      <c r="V32" s="892"/>
      <c r="W32" s="883" t="e">
        <f t="shared" si="7"/>
        <v>#DIV/0!</v>
      </c>
      <c r="X32" s="881" t="e">
        <f t="shared" si="8"/>
        <v>#DIV/0!</v>
      </c>
      <c r="Y32" s="916" t="e">
        <f t="shared" si="9"/>
        <v>#DIV/0!</v>
      </c>
      <c r="Z32" s="917" t="e">
        <f t="shared" si="10"/>
        <v>#DIV/0!</v>
      </c>
      <c r="AA32" s="893" t="e">
        <f t="shared" si="11"/>
        <v>#DIV/0!</v>
      </c>
      <c r="AB32" s="872">
        <v>0</v>
      </c>
      <c r="AC32" s="873"/>
      <c r="AD32" s="107"/>
    </row>
    <row r="33" spans="1:30" ht="15">
      <c r="A33" s="854"/>
      <c r="B33" s="926"/>
      <c r="C33" s="874" t="s">
        <v>1187</v>
      </c>
      <c r="D33" s="931"/>
      <c r="E33" s="931"/>
      <c r="F33" s="901"/>
      <c r="G33" s="876" t="e">
        <f t="shared" si="1"/>
        <v>#DIV/0!</v>
      </c>
      <c r="H33" s="909" t="e">
        <f t="shared" si="2"/>
        <v>#DIV/0!</v>
      </c>
      <c r="I33" s="876" t="e">
        <f t="shared" si="3"/>
        <v>#DIV/0!</v>
      </c>
      <c r="J33" s="875"/>
      <c r="K33" s="875"/>
      <c r="L33" s="887">
        <f>L31+L32</f>
        <v>0</v>
      </c>
      <c r="M33" s="876">
        <f>M31+M32</f>
        <v>0</v>
      </c>
      <c r="N33" s="887"/>
      <c r="O33" s="887"/>
      <c r="P33" s="889"/>
      <c r="Q33" s="904">
        <f t="shared" si="13"/>
        <v>0</v>
      </c>
      <c r="R33" s="910" t="e">
        <f t="shared" si="4"/>
        <v>#DIV/0!</v>
      </c>
      <c r="S33" s="914" t="e">
        <f t="shared" si="5"/>
        <v>#DIV/0!</v>
      </c>
      <c r="T33" s="929"/>
      <c r="U33" s="881" t="e">
        <f t="shared" si="6"/>
        <v>#DIV/0!</v>
      </c>
      <c r="V33" s="892"/>
      <c r="W33" s="883" t="e">
        <f t="shared" si="7"/>
        <v>#DIV/0!</v>
      </c>
      <c r="X33" s="881" t="e">
        <f t="shared" si="8"/>
        <v>#DIV/0!</v>
      </c>
      <c r="Y33" s="916" t="e">
        <f t="shared" si="9"/>
        <v>#DIV/0!</v>
      </c>
      <c r="Z33" s="917" t="e">
        <f t="shared" si="10"/>
        <v>#DIV/0!</v>
      </c>
      <c r="AA33" s="893">
        <f t="shared" si="11"/>
        <v>0</v>
      </c>
      <c r="AB33" s="872">
        <v>31</v>
      </c>
      <c r="AC33" s="873"/>
      <c r="AD33" s="107"/>
    </row>
    <row r="34" spans="1:30" ht="15">
      <c r="A34" s="1121">
        <v>11</v>
      </c>
      <c r="B34" s="1122" t="s">
        <v>1909</v>
      </c>
      <c r="C34" s="874" t="s">
        <v>1189</v>
      </c>
      <c r="D34" s="875"/>
      <c r="E34" s="875">
        <v>0</v>
      </c>
      <c r="F34" s="901"/>
      <c r="G34" s="876" t="e">
        <f t="shared" si="1"/>
        <v>#DIV/0!</v>
      </c>
      <c r="H34" s="909" t="e">
        <f t="shared" si="2"/>
        <v>#DIV/0!</v>
      </c>
      <c r="I34" s="876" t="e">
        <f t="shared" si="3"/>
        <v>#DIV/0!</v>
      </c>
      <c r="J34" s="875"/>
      <c r="K34" s="875"/>
      <c r="L34" s="876">
        <f t="shared" si="16"/>
        <v>0</v>
      </c>
      <c r="M34" s="902">
        <f t="shared" si="15"/>
        <v>0</v>
      </c>
      <c r="N34" s="877"/>
      <c r="O34" s="873"/>
      <c r="P34" s="889"/>
      <c r="Q34" s="904">
        <f t="shared" si="13"/>
        <v>0</v>
      </c>
      <c r="R34" s="910" t="e">
        <f t="shared" si="4"/>
        <v>#DIV/0!</v>
      </c>
      <c r="S34" s="914" t="e">
        <f t="shared" si="5"/>
        <v>#DIV/0!</v>
      </c>
      <c r="T34" s="1123"/>
      <c r="U34" s="881" t="e">
        <f t="shared" si="6"/>
        <v>#DIV/0!</v>
      </c>
      <c r="V34" s="892"/>
      <c r="W34" s="883" t="e">
        <f t="shared" si="7"/>
        <v>#DIV/0!</v>
      </c>
      <c r="X34" s="881" t="e">
        <f t="shared" si="8"/>
        <v>#DIV/0!</v>
      </c>
      <c r="Y34" s="916" t="e">
        <f t="shared" si="9"/>
        <v>#DIV/0!</v>
      </c>
      <c r="Z34" s="917" t="e">
        <f t="shared" si="10"/>
        <v>#DIV/0!</v>
      </c>
      <c r="AA34" s="893" t="e">
        <f t="shared" si="11"/>
        <v>#DIV/0!</v>
      </c>
      <c r="AB34" s="872">
        <v>0</v>
      </c>
      <c r="AC34" s="873"/>
      <c r="AD34" s="107"/>
    </row>
    <row r="35" spans="1:30" ht="15">
      <c r="A35" s="1121"/>
      <c r="B35" s="1122"/>
      <c r="C35" s="874" t="s">
        <v>1188</v>
      </c>
      <c r="D35" s="875"/>
      <c r="E35" s="875">
        <v>0</v>
      </c>
      <c r="F35" s="901"/>
      <c r="G35" s="876" t="e">
        <f t="shared" si="1"/>
        <v>#DIV/0!</v>
      </c>
      <c r="H35" s="909" t="e">
        <f t="shared" si="2"/>
        <v>#DIV/0!</v>
      </c>
      <c r="I35" s="876" t="e">
        <f t="shared" si="3"/>
        <v>#DIV/0!</v>
      </c>
      <c r="J35" s="875"/>
      <c r="K35" s="875"/>
      <c r="L35" s="876">
        <f t="shared" si="16"/>
        <v>0</v>
      </c>
      <c r="M35" s="902">
        <f t="shared" si="15"/>
        <v>0</v>
      </c>
      <c r="N35" s="877"/>
      <c r="O35" s="873"/>
      <c r="P35" s="889"/>
      <c r="Q35" s="904">
        <f t="shared" si="13"/>
        <v>0</v>
      </c>
      <c r="R35" s="910" t="e">
        <f t="shared" si="4"/>
        <v>#DIV/0!</v>
      </c>
      <c r="S35" s="914" t="e">
        <f t="shared" si="5"/>
        <v>#DIV/0!</v>
      </c>
      <c r="T35" s="1123"/>
      <c r="U35" s="881" t="e">
        <f t="shared" si="6"/>
        <v>#DIV/0!</v>
      </c>
      <c r="V35" s="892"/>
      <c r="W35" s="883" t="e">
        <f t="shared" si="7"/>
        <v>#DIV/0!</v>
      </c>
      <c r="X35" s="881" t="e">
        <f t="shared" si="8"/>
        <v>#DIV/0!</v>
      </c>
      <c r="Y35" s="916" t="e">
        <f t="shared" si="9"/>
        <v>#DIV/0!</v>
      </c>
      <c r="Z35" s="917" t="e">
        <f t="shared" si="10"/>
        <v>#DIV/0!</v>
      </c>
      <c r="AA35" s="893" t="e">
        <f t="shared" si="11"/>
        <v>#DIV/0!</v>
      </c>
      <c r="AB35" s="872">
        <v>0</v>
      </c>
      <c r="AC35" s="873"/>
      <c r="AD35" s="107"/>
    </row>
    <row r="36" spans="1:30" ht="15">
      <c r="A36" s="854"/>
      <c r="B36" s="926"/>
      <c r="C36" s="874" t="s">
        <v>1187</v>
      </c>
      <c r="D36" s="875"/>
      <c r="E36" s="875"/>
      <c r="F36" s="901"/>
      <c r="G36" s="876" t="e">
        <f t="shared" si="1"/>
        <v>#DIV/0!</v>
      </c>
      <c r="H36" s="909" t="e">
        <f t="shared" si="2"/>
        <v>#DIV/0!</v>
      </c>
      <c r="I36" s="876" t="e">
        <f t="shared" si="3"/>
        <v>#DIV/0!</v>
      </c>
      <c r="J36" s="875"/>
      <c r="K36" s="875"/>
      <c r="L36" s="887">
        <f>L34+L35</f>
        <v>0</v>
      </c>
      <c r="M36" s="876">
        <f>M34+M35</f>
        <v>0</v>
      </c>
      <c r="N36" s="877"/>
      <c r="O36" s="873"/>
      <c r="P36" s="889"/>
      <c r="Q36" s="904">
        <f t="shared" si="13"/>
        <v>0</v>
      </c>
      <c r="R36" s="910" t="e">
        <f t="shared" si="4"/>
        <v>#DIV/0!</v>
      </c>
      <c r="S36" s="914" t="e">
        <f t="shared" si="5"/>
        <v>#DIV/0!</v>
      </c>
      <c r="T36" s="933"/>
      <c r="U36" s="881" t="e">
        <f t="shared" si="6"/>
        <v>#DIV/0!</v>
      </c>
      <c r="V36" s="898"/>
      <c r="W36" s="883" t="e">
        <f t="shared" si="7"/>
        <v>#DIV/0!</v>
      </c>
      <c r="X36" s="881" t="e">
        <f t="shared" si="8"/>
        <v>#DIV/0!</v>
      </c>
      <c r="Y36" s="916" t="e">
        <f t="shared" si="9"/>
        <v>#DIV/0!</v>
      </c>
      <c r="Z36" s="917" t="e">
        <f t="shared" si="10"/>
        <v>#DIV/0!</v>
      </c>
      <c r="AA36" s="893">
        <f t="shared" si="11"/>
        <v>0</v>
      </c>
      <c r="AB36" s="872">
        <v>28</v>
      </c>
      <c r="AC36" s="873"/>
      <c r="AD36" s="107"/>
    </row>
    <row r="37" spans="1:30" ht="15">
      <c r="A37" s="1121">
        <v>12</v>
      </c>
      <c r="B37" s="1122" t="s">
        <v>1910</v>
      </c>
      <c r="C37" s="874" t="s">
        <v>1189</v>
      </c>
      <c r="D37" s="875"/>
      <c r="E37" s="875"/>
      <c r="F37" s="901"/>
      <c r="G37" s="876" t="e">
        <f t="shared" si="1"/>
        <v>#DIV/0!</v>
      </c>
      <c r="H37" s="909" t="e">
        <f t="shared" si="2"/>
        <v>#DIV/0!</v>
      </c>
      <c r="I37" s="876" t="e">
        <f t="shared" si="3"/>
        <v>#DIV/0!</v>
      </c>
      <c r="J37" s="875"/>
      <c r="K37" s="875"/>
      <c r="L37" s="876">
        <f t="shared" si="16"/>
        <v>0</v>
      </c>
      <c r="M37" s="902">
        <f t="shared" si="15"/>
        <v>0</v>
      </c>
      <c r="N37" s="877"/>
      <c r="O37" s="873"/>
      <c r="P37" s="889"/>
      <c r="Q37" s="904">
        <f t="shared" si="13"/>
        <v>0</v>
      </c>
      <c r="R37" s="910" t="e">
        <f t="shared" si="4"/>
        <v>#DIV/0!</v>
      </c>
      <c r="S37" s="914" t="e">
        <f t="shared" si="5"/>
        <v>#DIV/0!</v>
      </c>
      <c r="T37" s="852"/>
      <c r="U37" s="881" t="e">
        <f t="shared" si="6"/>
        <v>#DIV/0!</v>
      </c>
      <c r="V37" s="892"/>
      <c r="W37" s="883" t="e">
        <f t="shared" si="7"/>
        <v>#DIV/0!</v>
      </c>
      <c r="X37" s="881" t="e">
        <f t="shared" si="8"/>
        <v>#DIV/0!</v>
      </c>
      <c r="Y37" s="916" t="e">
        <f t="shared" si="9"/>
        <v>#DIV/0!</v>
      </c>
      <c r="Z37" s="917" t="e">
        <f t="shared" si="10"/>
        <v>#DIV/0!</v>
      </c>
      <c r="AA37" s="893" t="e">
        <f t="shared" si="11"/>
        <v>#DIV/0!</v>
      </c>
      <c r="AB37" s="872">
        <v>0</v>
      </c>
      <c r="AC37" s="873"/>
      <c r="AD37" s="107"/>
    </row>
    <row r="38" spans="1:30" ht="15">
      <c r="A38" s="1110"/>
      <c r="B38" s="1113"/>
      <c r="C38" s="934" t="s">
        <v>1188</v>
      </c>
      <c r="D38" s="935"/>
      <c r="E38" s="935"/>
      <c r="F38" s="901"/>
      <c r="G38" s="876" t="e">
        <f t="shared" si="1"/>
        <v>#DIV/0!</v>
      </c>
      <c r="H38" s="909" t="e">
        <f t="shared" si="2"/>
        <v>#DIV/0!</v>
      </c>
      <c r="I38" s="876" t="e">
        <f t="shared" si="3"/>
        <v>#DIV/0!</v>
      </c>
      <c r="J38" s="935"/>
      <c r="K38" s="935"/>
      <c r="L38" s="876">
        <f t="shared" si="16"/>
        <v>0</v>
      </c>
      <c r="M38" s="902">
        <f t="shared" si="15"/>
        <v>0</v>
      </c>
      <c r="N38" s="936"/>
      <c r="O38" s="873"/>
      <c r="P38" s="889"/>
      <c r="Q38" s="904">
        <f t="shared" si="13"/>
        <v>0</v>
      </c>
      <c r="R38" s="910" t="e">
        <f t="shared" si="4"/>
        <v>#DIV/0!</v>
      </c>
      <c r="S38" s="914" t="e">
        <f t="shared" si="5"/>
        <v>#DIV/0!</v>
      </c>
      <c r="T38" s="852"/>
      <c r="U38" s="881" t="e">
        <f t="shared" si="6"/>
        <v>#DIV/0!</v>
      </c>
      <c r="V38" s="892"/>
      <c r="W38" s="883" t="e">
        <f t="shared" si="7"/>
        <v>#DIV/0!</v>
      </c>
      <c r="X38" s="881" t="e">
        <f t="shared" si="8"/>
        <v>#DIV/0!</v>
      </c>
      <c r="Y38" s="916" t="e">
        <f t="shared" si="9"/>
        <v>#DIV/0!</v>
      </c>
      <c r="Z38" s="917" t="e">
        <f t="shared" si="10"/>
        <v>#DIV/0!</v>
      </c>
      <c r="AA38" s="893" t="e">
        <f t="shared" si="11"/>
        <v>#DIV/0!</v>
      </c>
      <c r="AB38" s="872">
        <v>0</v>
      </c>
      <c r="AC38" s="873"/>
      <c r="AD38" s="107"/>
    </row>
    <row r="39" spans="1:30" ht="15">
      <c r="A39" s="854"/>
      <c r="B39" s="926"/>
      <c r="C39" s="874" t="s">
        <v>1187</v>
      </c>
      <c r="D39" s="875"/>
      <c r="E39" s="875"/>
      <c r="F39" s="901"/>
      <c r="G39" s="876" t="e">
        <f t="shared" si="1"/>
        <v>#DIV/0!</v>
      </c>
      <c r="H39" s="909" t="e">
        <f t="shared" si="2"/>
        <v>#DIV/0!</v>
      </c>
      <c r="I39" s="876" t="e">
        <f t="shared" si="3"/>
        <v>#DIV/0!</v>
      </c>
      <c r="J39" s="875"/>
      <c r="K39" s="875"/>
      <c r="L39" s="887">
        <f>L37+L38</f>
        <v>0</v>
      </c>
      <c r="M39" s="876">
        <f>M37+M38</f>
        <v>0</v>
      </c>
      <c r="N39" s="877"/>
      <c r="O39" s="873"/>
      <c r="P39" s="889"/>
      <c r="Q39" s="904">
        <f t="shared" si="13"/>
        <v>0</v>
      </c>
      <c r="R39" s="910" t="e">
        <f t="shared" si="4"/>
        <v>#DIV/0!</v>
      </c>
      <c r="S39" s="914" t="e">
        <f t="shared" si="5"/>
        <v>#DIV/0!</v>
      </c>
      <c r="T39" s="870"/>
      <c r="U39" s="881" t="e">
        <f t="shared" si="6"/>
        <v>#DIV/0!</v>
      </c>
      <c r="V39" s="898"/>
      <c r="W39" s="883" t="e">
        <f t="shared" si="7"/>
        <v>#DIV/0!</v>
      </c>
      <c r="X39" s="881" t="e">
        <f t="shared" si="8"/>
        <v>#DIV/0!</v>
      </c>
      <c r="Y39" s="916" t="e">
        <f t="shared" si="9"/>
        <v>#DIV/0!</v>
      </c>
      <c r="Z39" s="917" t="e">
        <f t="shared" si="10"/>
        <v>#DIV/0!</v>
      </c>
      <c r="AA39" s="893">
        <f t="shared" si="11"/>
        <v>0</v>
      </c>
      <c r="AB39" s="873">
        <v>31</v>
      </c>
      <c r="AC39" s="873"/>
      <c r="AD39" s="107"/>
    </row>
    <row r="40" spans="1:30" ht="15">
      <c r="A40" s="937"/>
      <c r="B40" s="938"/>
      <c r="C40" s="939"/>
      <c r="D40" s="940"/>
      <c r="E40" s="940"/>
      <c r="F40" s="940"/>
      <c r="G40" s="940"/>
      <c r="H40" s="941"/>
      <c r="I40" s="940"/>
      <c r="J40" s="940"/>
      <c r="K40" s="940"/>
      <c r="L40" s="940"/>
      <c r="M40" s="942"/>
      <c r="N40" s="942"/>
      <c r="O40" s="933"/>
      <c r="P40" s="933"/>
      <c r="Q40" s="943"/>
      <c r="R40" s="852"/>
      <c r="S40" s="852"/>
      <c r="T40" s="852"/>
      <c r="U40" s="852"/>
      <c r="V40" s="852"/>
      <c r="W40" s="852"/>
      <c r="X40" s="944"/>
      <c r="Y40" s="945"/>
      <c r="Z40" s="946" t="e">
        <f>SUM(Z6,Z9,Z12,Z15,Z18,Z21,Z24,Z27,Z30,Z33,Z36,Z39)</f>
        <v>#DIV/0!</v>
      </c>
      <c r="AA40" s="945"/>
      <c r="AB40" s="945">
        <f>SUM(AB5:AB39)</f>
        <v>365</v>
      </c>
      <c r="AC40" s="945">
        <f>SUM(AC6:AC39)</f>
        <v>484403124</v>
      </c>
      <c r="AD40" s="107">
        <f>SUM(AD4:AD39)</f>
        <v>173200002</v>
      </c>
    </row>
    <row r="41" spans="1:30" ht="15">
      <c r="A41" s="937"/>
      <c r="B41" s="938"/>
      <c r="C41" s="852"/>
      <c r="D41" s="852"/>
      <c r="E41" s="852"/>
      <c r="F41" s="852"/>
      <c r="G41" s="852" t="e">
        <f>SUM(G6,G9,G12,G15,G18,G21,G24,G27,G30,G33,G36,G39)</f>
        <v>#DIV/0!</v>
      </c>
      <c r="H41" s="852"/>
      <c r="I41" s="852" t="e">
        <f>SUM(I6,I9,I12,I15,I18,I21,I24,I27,I30,I33,I36,I39)</f>
        <v>#DIV/0!</v>
      </c>
      <c r="J41" s="852"/>
      <c r="K41" s="852"/>
      <c r="L41" s="852"/>
      <c r="M41" s="852"/>
      <c r="N41" s="852"/>
      <c r="O41" s="947">
        <f>SUM(O6,O9,O12,O15,O18,O21,O24,O27,O30,O33,O36,O39)</f>
        <v>126653790</v>
      </c>
      <c r="P41" s="947">
        <f>SUM(P6,P9,P12,P15,P18,P21,P24,P27,P30,P33,P36,P39)</f>
        <v>6766790</v>
      </c>
      <c r="Q41" s="947">
        <f>SUM(Q6,Q9,Q12,Q15,Q18,Q21,Q24,Q27,Q30,Q33,Q36,Q39)</f>
        <v>119902200</v>
      </c>
      <c r="R41" s="948">
        <f>(P41/O41)*100</f>
        <v>5.342745763865416</v>
      </c>
      <c r="S41" s="852"/>
      <c r="T41" s="852"/>
      <c r="U41" s="852"/>
      <c r="V41" s="852">
        <f>SUM(V6,V9,V12,V15,V18,V21,V24,V27,V30,V33,V36,V39)</f>
        <v>236883652</v>
      </c>
      <c r="W41" s="852"/>
      <c r="X41" s="852"/>
      <c r="Y41" s="945" t="e">
        <f>SUM(Y6,Y9,Y12,Y15,Y18,Y21,Y24,Y27,Y30,Y33,Y36,Y39)</f>
        <v>#DIV/0!</v>
      </c>
      <c r="Z41" s="949" t="e">
        <f>Z40/10000000</f>
        <v>#DIV/0!</v>
      </c>
      <c r="AA41" s="945"/>
      <c r="AB41" s="945"/>
      <c r="AC41" s="946">
        <f>AC40/10000000</f>
        <v>48.4403124</v>
      </c>
      <c r="AD41" s="690">
        <f>AD40/10000000</f>
        <v>17.3200002</v>
      </c>
    </row>
    <row r="42" spans="1:29" ht="15">
      <c r="A42" s="852"/>
      <c r="B42" s="852"/>
      <c r="C42" s="950">
        <f>M21/L21</f>
        <v>10888.76924717457</v>
      </c>
      <c r="D42" s="852"/>
      <c r="E42" s="852"/>
      <c r="F42" s="852"/>
      <c r="G42" s="948" t="e">
        <f>G41/10000000</f>
        <v>#DIV/0!</v>
      </c>
      <c r="H42" s="852"/>
      <c r="I42" s="948" t="e">
        <f>I41/10000000</f>
        <v>#DIV/0!</v>
      </c>
      <c r="J42" s="852"/>
      <c r="K42" s="852"/>
      <c r="L42" s="947">
        <f>SUM(L6,L9,L12,L15,L18,L21,L24,L27,L30,L33,L36,L39)</f>
        <v>30721492</v>
      </c>
      <c r="M42" s="947">
        <f>SUM(M6,M9,M12,M15,M18,M21,M24,M27,M30,M33,M36,M39)</f>
        <v>333641030528.05707</v>
      </c>
      <c r="N42" s="852"/>
      <c r="O42" s="946">
        <f>O41/1000000</f>
        <v>126.65379</v>
      </c>
      <c r="P42" s="946">
        <f>P41/1000000</f>
        <v>6.76679</v>
      </c>
      <c r="Q42" s="946">
        <f>Q41/1000000</f>
        <v>119.9022</v>
      </c>
      <c r="R42" s="852"/>
      <c r="S42" s="852"/>
      <c r="T42" s="852"/>
      <c r="U42" s="852"/>
      <c r="V42" s="946">
        <f>V41/10000000</f>
        <v>23.6883652</v>
      </c>
      <c r="W42" s="852"/>
      <c r="X42" s="852"/>
      <c r="Y42" s="946" t="e">
        <f>Y41/10000000</f>
        <v>#DIV/0!</v>
      </c>
      <c r="Z42" s="945"/>
      <c r="AA42" s="945"/>
      <c r="AB42" s="945"/>
      <c r="AC42" s="945"/>
    </row>
    <row r="43" spans="1:29" ht="15">
      <c r="A43" s="852"/>
      <c r="B43" s="852"/>
      <c r="C43" s="852"/>
      <c r="D43" s="852"/>
      <c r="E43" s="852"/>
      <c r="F43" s="852"/>
      <c r="G43" s="852"/>
      <c r="H43" s="852"/>
      <c r="I43" s="852"/>
      <c r="J43" s="852"/>
      <c r="K43" s="852"/>
      <c r="L43" s="852"/>
      <c r="M43" s="852"/>
      <c r="N43" s="852"/>
      <c r="O43" s="852"/>
      <c r="P43" s="948">
        <f>P41*100/O41</f>
        <v>5.342745763865416</v>
      </c>
      <c r="Q43" s="852"/>
      <c r="R43" s="852"/>
      <c r="S43" s="852"/>
      <c r="T43" s="852"/>
      <c r="U43" s="852"/>
      <c r="V43" s="852"/>
      <c r="W43" s="852"/>
      <c r="X43" s="852"/>
      <c r="Y43" s="852"/>
      <c r="Z43" s="852"/>
      <c r="AA43" s="852"/>
      <c r="AB43" s="852"/>
      <c r="AC43" s="852"/>
    </row>
    <row r="44" spans="1:29" ht="15">
      <c r="A44" s="1124" t="s">
        <v>1186</v>
      </c>
      <c r="B44" s="1124"/>
      <c r="C44" s="1124"/>
      <c r="D44" s="1124"/>
      <c r="E44" s="1124"/>
      <c r="F44" s="1124"/>
      <c r="G44" s="1124"/>
      <c r="H44" s="1124"/>
      <c r="I44" s="1124"/>
      <c r="J44" s="1124"/>
      <c r="K44" s="852" t="s">
        <v>1185</v>
      </c>
      <c r="L44" s="852"/>
      <c r="M44" s="951">
        <f>M42/L42</f>
        <v>10860.183174959637</v>
      </c>
      <c r="N44" s="852"/>
      <c r="O44" s="852" t="s">
        <v>1184</v>
      </c>
      <c r="P44" s="852"/>
      <c r="Q44" s="852"/>
      <c r="R44" s="852"/>
      <c r="S44" s="852"/>
      <c r="T44" s="852"/>
      <c r="U44" s="852" t="s">
        <v>1183</v>
      </c>
      <c r="V44" s="948">
        <f>(O41*100)/(780000*AB40)</f>
        <v>44.48675447839831</v>
      </c>
      <c r="W44" s="852"/>
      <c r="X44" s="852"/>
      <c r="Y44" s="852"/>
      <c r="Z44" s="945">
        <f>Q15*X15</f>
        <v>39074162</v>
      </c>
      <c r="AA44" s="852"/>
      <c r="AB44" s="852"/>
      <c r="AC44" s="852"/>
    </row>
    <row r="45" spans="1:29" ht="15">
      <c r="A45" s="852"/>
      <c r="B45" s="852"/>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f>19928367.8*2.87</f>
        <v>57194415.586</v>
      </c>
      <c r="AA45" s="852"/>
      <c r="AB45" s="852"/>
      <c r="AC45" s="852"/>
    </row>
    <row r="46" spans="1:29" ht="15">
      <c r="A46" s="1124" t="s">
        <v>1182</v>
      </c>
      <c r="B46" s="1124"/>
      <c r="C46" s="1124"/>
      <c r="D46" s="1124"/>
      <c r="E46" s="944">
        <f>ROUND((L42*M44)/O41,2)</f>
        <v>2634.28</v>
      </c>
      <c r="F46" s="944"/>
      <c r="G46" s="951">
        <f>(L42*M44)/O41</f>
        <v>2634.2759306930893</v>
      </c>
      <c r="H46" s="852"/>
      <c r="I46" s="852"/>
      <c r="J46" s="852" t="s">
        <v>1181</v>
      </c>
      <c r="K46" s="852"/>
      <c r="L46" s="852"/>
      <c r="M46" s="852"/>
      <c r="N46" s="852"/>
      <c r="O46" s="852"/>
      <c r="P46" s="852"/>
      <c r="Q46" s="852"/>
      <c r="R46" s="852"/>
      <c r="S46" s="852"/>
      <c r="T46" s="852"/>
      <c r="U46" s="852"/>
      <c r="V46" s="852"/>
      <c r="W46" s="852"/>
      <c r="X46" s="852"/>
      <c r="Y46" s="852"/>
      <c r="Z46" s="852"/>
      <c r="AA46" s="852"/>
      <c r="AB46" s="852"/>
      <c r="AC46" s="852"/>
    </row>
    <row r="47" spans="1:29" ht="15">
      <c r="A47" s="852"/>
      <c r="B47" s="852"/>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row>
    <row r="48" spans="1:29" ht="15">
      <c r="A48" s="852" t="s">
        <v>1180</v>
      </c>
      <c r="B48" s="852"/>
      <c r="C48" s="852"/>
      <c r="D48" s="852"/>
      <c r="E48" s="852"/>
      <c r="F48" s="852"/>
      <c r="G48" s="852"/>
      <c r="H48" s="852"/>
      <c r="I48" s="852" t="s">
        <v>1179</v>
      </c>
      <c r="J48" s="852"/>
      <c r="K48" s="852" t="s">
        <v>1178</v>
      </c>
      <c r="L48" s="946">
        <f>(2646*C50*100)/(M44*(100-5))</f>
        <v>1.9775244896555801</v>
      </c>
      <c r="M48" s="852"/>
      <c r="N48" s="852"/>
      <c r="O48" s="950" t="s">
        <v>1894</v>
      </c>
      <c r="P48" s="950" t="s">
        <v>1895</v>
      </c>
      <c r="Q48" s="948">
        <f>L48+O50</f>
        <v>3.422035115815901</v>
      </c>
      <c r="R48" s="852"/>
      <c r="S48" s="852"/>
      <c r="T48" s="852"/>
      <c r="U48" s="852"/>
      <c r="V48" s="852"/>
      <c r="W48" s="852"/>
      <c r="X48" s="852"/>
      <c r="Y48" s="852"/>
      <c r="Z48" s="852"/>
      <c r="AA48" s="852"/>
      <c r="AB48" s="852"/>
      <c r="AC48" s="852"/>
    </row>
    <row r="49" spans="1:29" ht="15">
      <c r="A49" s="852"/>
      <c r="B49" s="852"/>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row>
    <row r="50" spans="1:29" ht="15">
      <c r="A50" s="852"/>
      <c r="B50" s="852" t="s">
        <v>1177</v>
      </c>
      <c r="C50" s="952">
        <f>V41/L42</f>
        <v>7.710681890059246</v>
      </c>
      <c r="D50" s="946">
        <f>V41*1000/L42</f>
        <v>7710.681890059246</v>
      </c>
      <c r="E50" s="852"/>
      <c r="F50" s="852"/>
      <c r="G50" s="852"/>
      <c r="H50" s="852"/>
      <c r="I50" s="950" t="s">
        <v>1896</v>
      </c>
      <c r="J50" s="852"/>
      <c r="K50" s="852"/>
      <c r="L50" s="852"/>
      <c r="M50" s="950" t="s">
        <v>1897</v>
      </c>
      <c r="N50" s="852"/>
      <c r="O50" s="952">
        <f>AD40/Q41</f>
        <v>1.4445106261603207</v>
      </c>
      <c r="P50" s="852"/>
      <c r="Q50" s="852"/>
      <c r="R50" s="852"/>
      <c r="S50" s="852"/>
      <c r="T50" s="852"/>
      <c r="U50" s="852"/>
      <c r="V50" s="852"/>
      <c r="W50" s="852"/>
      <c r="X50" s="852"/>
      <c r="Y50" s="852"/>
      <c r="Z50" s="852"/>
      <c r="AA50" s="852"/>
      <c r="AB50" s="852"/>
      <c r="AC50" s="852"/>
    </row>
    <row r="51" spans="1:29" ht="15">
      <c r="A51" s="852"/>
      <c r="B51" s="852"/>
      <c r="C51" s="953"/>
      <c r="D51" s="852"/>
      <c r="E51" s="852"/>
      <c r="F51" s="852"/>
      <c r="G51" s="954"/>
      <c r="H51" s="955"/>
      <c r="I51" s="869"/>
      <c r="J51" s="852"/>
      <c r="K51" s="852"/>
      <c r="L51" s="852"/>
      <c r="M51" s="852"/>
      <c r="N51" s="852"/>
      <c r="O51" s="852"/>
      <c r="P51" s="852"/>
      <c r="Q51" s="852"/>
      <c r="R51" s="852"/>
      <c r="S51" s="852"/>
      <c r="T51" s="852"/>
      <c r="U51" s="852"/>
      <c r="V51" s="852"/>
      <c r="W51" s="852"/>
      <c r="X51" s="852"/>
      <c r="Y51" s="852"/>
      <c r="Z51" s="852"/>
      <c r="AA51" s="852"/>
      <c r="AB51" s="852"/>
      <c r="AC51" s="852"/>
    </row>
  </sheetData>
  <sheetProtection/>
  <mergeCells count="38">
    <mergeCell ref="A46:D46"/>
    <mergeCell ref="A34:A35"/>
    <mergeCell ref="B34:B35"/>
    <mergeCell ref="T34:T35"/>
    <mergeCell ref="A37:A38"/>
    <mergeCell ref="B37:B38"/>
    <mergeCell ref="A44:J44"/>
    <mergeCell ref="B26:B27"/>
    <mergeCell ref="A28:A29"/>
    <mergeCell ref="B28:B29"/>
    <mergeCell ref="T28:T29"/>
    <mergeCell ref="A31:A32"/>
    <mergeCell ref="B31:B32"/>
    <mergeCell ref="T31:T32"/>
    <mergeCell ref="A19:A20"/>
    <mergeCell ref="B19:B20"/>
    <mergeCell ref="T19:T20"/>
    <mergeCell ref="A23:A24"/>
    <mergeCell ref="B23:B24"/>
    <mergeCell ref="T23:T24"/>
    <mergeCell ref="A13:A14"/>
    <mergeCell ref="B13:B14"/>
    <mergeCell ref="T13:T14"/>
    <mergeCell ref="A16:A17"/>
    <mergeCell ref="B16:B17"/>
    <mergeCell ref="T16:T17"/>
    <mergeCell ref="A7:A8"/>
    <mergeCell ref="B7:B8"/>
    <mergeCell ref="T7:T8"/>
    <mergeCell ref="A10:A11"/>
    <mergeCell ref="B10:B11"/>
    <mergeCell ref="T10:T11"/>
    <mergeCell ref="A1:Z1"/>
    <mergeCell ref="D2:G2"/>
    <mergeCell ref="H2:I2"/>
    <mergeCell ref="J2:L2"/>
    <mergeCell ref="A4:A6"/>
    <mergeCell ref="B4:B6"/>
  </mergeCells>
  <printOptions horizontalCentered="1" verticalCentered="1"/>
  <pageMargins left="0.16" right="0.16" top="0.27" bottom="0.2" header="0.3" footer="0.15"/>
  <pageSetup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dimension ref="A1:AD51"/>
  <sheetViews>
    <sheetView zoomScalePageLayoutView="0" workbookViewId="0" topLeftCell="A1">
      <selection activeCell="C50" sqref="C50"/>
    </sheetView>
  </sheetViews>
  <sheetFormatPr defaultColWidth="9.33203125" defaultRowHeight="12.75"/>
  <cols>
    <col min="1" max="1" width="4" style="90" customWidth="1"/>
    <col min="2" max="2" width="9" style="90" customWidth="1"/>
    <col min="3" max="3" width="12.33203125" style="90" customWidth="1"/>
    <col min="4" max="4" width="13" style="90" customWidth="1"/>
    <col min="5" max="5" width="8.83203125" style="90" customWidth="1"/>
    <col min="6" max="6" width="0.1640625" style="90" customWidth="1"/>
    <col min="7" max="7" width="11.66015625" style="90" hidden="1" customWidth="1"/>
    <col min="8" max="8" width="8.83203125" style="90" hidden="1" customWidth="1"/>
    <col min="9" max="9" width="11.66015625" style="90" hidden="1" customWidth="1"/>
    <col min="10" max="10" width="9.33203125" style="90" customWidth="1"/>
    <col min="11" max="11" width="7.5" style="90" customWidth="1"/>
    <col min="12" max="12" width="10.83203125" style="90" customWidth="1"/>
    <col min="13" max="13" width="19.16015625" style="90" customWidth="1"/>
    <col min="14" max="14" width="13.83203125" style="90" hidden="1" customWidth="1"/>
    <col min="15" max="16" width="12.66015625" style="90" customWidth="1"/>
    <col min="17" max="17" width="13.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3" style="90" customWidth="1"/>
    <col min="26" max="26" width="16.66015625" style="90" customWidth="1"/>
    <col min="27" max="27" width="8.66015625" style="90" customWidth="1"/>
    <col min="28" max="28" width="6.83203125" style="90" customWidth="1"/>
    <col min="29" max="29" width="12" style="90" customWidth="1"/>
    <col min="30" max="30" width="17.16015625" style="90" customWidth="1"/>
    <col min="31" max="16384" width="9.33203125" style="90" customWidth="1"/>
  </cols>
  <sheetData>
    <row r="1" spans="1:29" ht="21">
      <c r="A1" s="1103" t="s">
        <v>1893</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852"/>
      <c r="AB1" s="852"/>
      <c r="AC1" s="852"/>
    </row>
    <row r="2" spans="1:30" ht="75">
      <c r="A2" s="853" t="s">
        <v>1230</v>
      </c>
      <c r="B2" s="854" t="s">
        <v>1229</v>
      </c>
      <c r="C2" s="855"/>
      <c r="D2" s="1104" t="s">
        <v>1228</v>
      </c>
      <c r="E2" s="1105"/>
      <c r="F2" s="1105"/>
      <c r="G2" s="1106"/>
      <c r="H2" s="1104"/>
      <c r="I2" s="1106"/>
      <c r="J2" s="1107" t="s">
        <v>1227</v>
      </c>
      <c r="K2" s="1108"/>
      <c r="L2" s="1109"/>
      <c r="M2" s="856" t="s">
        <v>1226</v>
      </c>
      <c r="N2" s="856" t="s">
        <v>1225</v>
      </c>
      <c r="O2" s="857" t="s">
        <v>1224</v>
      </c>
      <c r="P2" s="857" t="s">
        <v>1223</v>
      </c>
      <c r="Q2" s="858" t="s">
        <v>1222</v>
      </c>
      <c r="R2" s="859" t="s">
        <v>1221</v>
      </c>
      <c r="S2" s="859" t="s">
        <v>1220</v>
      </c>
      <c r="T2" s="860" t="s">
        <v>1219</v>
      </c>
      <c r="U2" s="861" t="s">
        <v>1218</v>
      </c>
      <c r="V2" s="861" t="s">
        <v>1217</v>
      </c>
      <c r="W2" s="862" t="s">
        <v>1216</v>
      </c>
      <c r="X2" s="862" t="s">
        <v>1215</v>
      </c>
      <c r="Y2" s="862" t="s">
        <v>1214</v>
      </c>
      <c r="Z2" s="861" t="s">
        <v>1213</v>
      </c>
      <c r="AA2" s="862" t="s">
        <v>1212</v>
      </c>
      <c r="AB2" s="862" t="s">
        <v>1211</v>
      </c>
      <c r="AC2" s="863" t="s">
        <v>1763</v>
      </c>
      <c r="AD2" s="864" t="s">
        <v>1837</v>
      </c>
    </row>
    <row r="3" spans="1:30" ht="45">
      <c r="A3" s="865"/>
      <c r="B3" s="865"/>
      <c r="C3" s="865"/>
      <c r="D3" s="866" t="s">
        <v>1203</v>
      </c>
      <c r="E3" s="866" t="s">
        <v>1208</v>
      </c>
      <c r="F3" s="866" t="s">
        <v>1207</v>
      </c>
      <c r="G3" s="867" t="s">
        <v>1206</v>
      </c>
      <c r="H3" s="866" t="s">
        <v>1205</v>
      </c>
      <c r="I3" s="867" t="s">
        <v>1204</v>
      </c>
      <c r="J3" s="866" t="s">
        <v>1203</v>
      </c>
      <c r="K3" s="866" t="s">
        <v>1202</v>
      </c>
      <c r="L3" s="866"/>
      <c r="M3" s="861"/>
      <c r="N3" s="861"/>
      <c r="O3" s="868"/>
      <c r="P3" s="869"/>
      <c r="Q3" s="870"/>
      <c r="R3" s="870"/>
      <c r="S3" s="870"/>
      <c r="T3" s="871"/>
      <c r="U3" s="872"/>
      <c r="V3" s="872"/>
      <c r="W3" s="872"/>
      <c r="X3" s="870"/>
      <c r="Y3" s="870"/>
      <c r="Z3" s="870"/>
      <c r="AA3" s="870"/>
      <c r="AB3" s="873"/>
      <c r="AC3" s="873"/>
      <c r="AD3" s="107">
        <v>331700000</v>
      </c>
    </row>
    <row r="4" spans="1:29" ht="15">
      <c r="A4" s="1110">
        <v>1</v>
      </c>
      <c r="B4" s="1113" t="s">
        <v>1201</v>
      </c>
      <c r="C4" s="874" t="s">
        <v>1189</v>
      </c>
      <c r="D4" s="875">
        <v>10784.848</v>
      </c>
      <c r="E4" s="875"/>
      <c r="F4" s="876" t="e">
        <f aca="true" t="shared" si="0" ref="F4:F32">ROUND((2646*W4*100)/(U4*(100-R4)),2)</f>
        <v>#DIV/0!</v>
      </c>
      <c r="G4" s="876" t="e">
        <f aca="true" t="shared" si="1" ref="G4:G39">(Q4*F4)-Y4</f>
        <v>#DIV/0!</v>
      </c>
      <c r="H4" s="876" t="e">
        <f aca="true" t="shared" si="2" ref="H4:H39">ROUND((S4*W4*100)/(U4*95),2)</f>
        <v>#DIV/0!</v>
      </c>
      <c r="I4" s="876" t="e">
        <f aca="true" t="shared" si="3" ref="I4:I39">(Q4*H4)-Y4</f>
        <v>#DIV/0!</v>
      </c>
      <c r="J4" s="875">
        <v>2393532</v>
      </c>
      <c r="K4" s="876"/>
      <c r="L4" s="876">
        <f>J4+K4</f>
        <v>2393532</v>
      </c>
      <c r="M4" s="877">
        <f>D4*J4+E4*K4</f>
        <v>25813878803.136</v>
      </c>
      <c r="N4" s="877" t="e">
        <f>H4*J4+I4*K4</f>
        <v>#DIV/0!</v>
      </c>
      <c r="O4" s="873"/>
      <c r="P4" s="873"/>
      <c r="Q4" s="878"/>
      <c r="R4" s="879" t="e">
        <f aca="true" t="shared" si="4" ref="R4:R39">P4*100/O4</f>
        <v>#DIV/0!</v>
      </c>
      <c r="S4" s="879" t="e">
        <f aca="true" t="shared" si="5" ref="S4:S39">ROUND((M4)/O4,2)</f>
        <v>#DIV/0!</v>
      </c>
      <c r="T4" s="880"/>
      <c r="U4" s="881">
        <f aca="true" t="shared" si="6" ref="U4:U39">M4/L4</f>
        <v>10784.848</v>
      </c>
      <c r="V4" s="882">
        <v>21081455</v>
      </c>
      <c r="W4" s="883">
        <f aca="true" t="shared" si="7" ref="W4:W39">ROUND(V4/L4,3)</f>
        <v>8.808</v>
      </c>
      <c r="X4" s="881">
        <f aca="true" t="shared" si="8" ref="X4:X39">ROUND((2646*W4*100)/(U4*95),2)</f>
        <v>2.27</v>
      </c>
      <c r="Y4" s="884">
        <f aca="true" t="shared" si="9" ref="Y4:Y39">X4*Q4</f>
        <v>0</v>
      </c>
      <c r="Z4" s="885">
        <f aca="true" t="shared" si="10" ref="Z4:Z39">Y4-V4</f>
        <v>-21081455</v>
      </c>
      <c r="AA4" s="870"/>
      <c r="AB4" s="873"/>
      <c r="AC4" s="873"/>
    </row>
    <row r="5" spans="1:29" ht="15">
      <c r="A5" s="1111"/>
      <c r="B5" s="1114"/>
      <c r="C5" s="874" t="s">
        <v>1188</v>
      </c>
      <c r="D5" s="875">
        <v>10788.428</v>
      </c>
      <c r="E5" s="875"/>
      <c r="F5" s="876" t="e">
        <f t="shared" si="0"/>
        <v>#DIV/0!</v>
      </c>
      <c r="G5" s="876" t="e">
        <f t="shared" si="1"/>
        <v>#DIV/0!</v>
      </c>
      <c r="H5" s="876" t="e">
        <f t="shared" si="2"/>
        <v>#DIV/0!</v>
      </c>
      <c r="I5" s="876" t="e">
        <f t="shared" si="3"/>
        <v>#DIV/0!</v>
      </c>
      <c r="J5" s="875">
        <v>2395546</v>
      </c>
      <c r="K5" s="876"/>
      <c r="L5" s="876">
        <f>J5+K5</f>
        <v>2395546</v>
      </c>
      <c r="M5" s="877">
        <f>D5*J5+E5*K5</f>
        <v>25844175541.688</v>
      </c>
      <c r="N5" s="877" t="e">
        <f>H5*L5</f>
        <v>#DIV/0!</v>
      </c>
      <c r="O5" s="873"/>
      <c r="P5" s="873"/>
      <c r="Q5" s="878"/>
      <c r="R5" s="879" t="e">
        <f t="shared" si="4"/>
        <v>#DIV/0!</v>
      </c>
      <c r="S5" s="879" t="e">
        <f t="shared" si="5"/>
        <v>#DIV/0!</v>
      </c>
      <c r="T5" s="886"/>
      <c r="U5" s="881">
        <f t="shared" si="6"/>
        <v>10788.428</v>
      </c>
      <c r="V5" s="872">
        <v>21106205</v>
      </c>
      <c r="W5" s="883">
        <f t="shared" si="7"/>
        <v>8.811</v>
      </c>
      <c r="X5" s="881">
        <f t="shared" si="8"/>
        <v>2.27</v>
      </c>
      <c r="Y5" s="884">
        <f t="shared" si="9"/>
        <v>0</v>
      </c>
      <c r="Z5" s="885">
        <f t="shared" si="10"/>
        <v>-21106205</v>
      </c>
      <c r="AA5" s="870"/>
      <c r="AB5" s="873"/>
      <c r="AC5" s="873"/>
    </row>
    <row r="6" spans="1:30" ht="15">
      <c r="A6" s="1112"/>
      <c r="B6" s="1115"/>
      <c r="C6" s="874" t="s">
        <v>1187</v>
      </c>
      <c r="D6" s="875"/>
      <c r="E6" s="875"/>
      <c r="F6" s="876">
        <f t="shared" si="0"/>
        <v>2.29</v>
      </c>
      <c r="G6" s="876">
        <f t="shared" si="1"/>
        <v>369060</v>
      </c>
      <c r="H6" s="876">
        <f t="shared" si="2"/>
        <v>2.27</v>
      </c>
      <c r="I6" s="876">
        <f t="shared" si="3"/>
        <v>0</v>
      </c>
      <c r="J6" s="875"/>
      <c r="K6" s="876"/>
      <c r="L6" s="887">
        <f>SUM(L4:L5)</f>
        <v>4789078</v>
      </c>
      <c r="M6" s="888">
        <f>SUM(M4:M5)</f>
        <v>51658054344.824005</v>
      </c>
      <c r="N6" s="877"/>
      <c r="O6" s="889">
        <v>19581590</v>
      </c>
      <c r="P6" s="889">
        <v>1128590</v>
      </c>
      <c r="Q6" s="878">
        <f>O6-P6</f>
        <v>18453000</v>
      </c>
      <c r="R6" s="879">
        <f t="shared" si="4"/>
        <v>5.763525842385628</v>
      </c>
      <c r="S6" s="890">
        <f t="shared" si="5"/>
        <v>2638.09</v>
      </c>
      <c r="T6" s="891"/>
      <c r="U6" s="881">
        <f t="shared" si="6"/>
        <v>10786.638752767027</v>
      </c>
      <c r="V6" s="892">
        <f>V4+V5</f>
        <v>42187660</v>
      </c>
      <c r="W6" s="883">
        <f t="shared" si="7"/>
        <v>8.809</v>
      </c>
      <c r="X6" s="881">
        <f t="shared" si="8"/>
        <v>2.27</v>
      </c>
      <c r="Y6" s="882">
        <f t="shared" si="9"/>
        <v>41888310</v>
      </c>
      <c r="Z6" s="892">
        <f t="shared" si="10"/>
        <v>-299350</v>
      </c>
      <c r="AA6" s="893">
        <f>O6*100/(780000*AB6)</f>
        <v>83.68200854700855</v>
      </c>
      <c r="AB6" s="873">
        <v>30</v>
      </c>
      <c r="AC6" s="873">
        <v>69225903</v>
      </c>
      <c r="AD6" s="107">
        <v>27360747</v>
      </c>
    </row>
    <row r="7" spans="1:30" ht="15">
      <c r="A7" s="1110">
        <v>2</v>
      </c>
      <c r="B7" s="1116" t="s">
        <v>1200</v>
      </c>
      <c r="C7" s="874" t="s">
        <v>1189</v>
      </c>
      <c r="D7" s="894">
        <v>10783.686</v>
      </c>
      <c r="E7" s="894"/>
      <c r="F7" s="876" t="e">
        <f t="shared" si="0"/>
        <v>#DIV/0!</v>
      </c>
      <c r="G7" s="876" t="e">
        <f t="shared" si="1"/>
        <v>#DIV/0!</v>
      </c>
      <c r="H7" s="876" t="e">
        <f t="shared" si="2"/>
        <v>#DIV/0!</v>
      </c>
      <c r="I7" s="876" t="e">
        <f t="shared" si="3"/>
        <v>#DIV/0!</v>
      </c>
      <c r="J7" s="894">
        <v>2379673</v>
      </c>
      <c r="K7" s="895"/>
      <c r="L7" s="896">
        <f>+J7+K7</f>
        <v>2379673</v>
      </c>
      <c r="M7" s="895">
        <f>D7*J7+E7*K7</f>
        <v>25661646414.677998</v>
      </c>
      <c r="N7" s="895" t="e">
        <f>H7*L7</f>
        <v>#DIV/0!</v>
      </c>
      <c r="O7" s="872"/>
      <c r="P7" s="897"/>
      <c r="Q7" s="878"/>
      <c r="R7" s="879" t="e">
        <f t="shared" si="4"/>
        <v>#DIV/0!</v>
      </c>
      <c r="S7" s="879" t="e">
        <f t="shared" si="5"/>
        <v>#DIV/0!</v>
      </c>
      <c r="T7" s="1118"/>
      <c r="U7" s="881">
        <f t="shared" si="6"/>
        <v>10783.686</v>
      </c>
      <c r="V7" s="872">
        <v>21425579</v>
      </c>
      <c r="W7" s="883">
        <f t="shared" si="7"/>
        <v>9.004</v>
      </c>
      <c r="X7" s="881">
        <f t="shared" si="8"/>
        <v>2.33</v>
      </c>
      <c r="Y7" s="884">
        <f t="shared" si="9"/>
        <v>0</v>
      </c>
      <c r="Z7" s="898">
        <f t="shared" si="10"/>
        <v>-21425579</v>
      </c>
      <c r="AA7" s="893" t="e">
        <f aca="true" t="shared" si="11" ref="AA7:AA39">O7*100/(780000*AB7)</f>
        <v>#DIV/0!</v>
      </c>
      <c r="AB7" s="872"/>
      <c r="AC7" s="872"/>
      <c r="AD7" s="107"/>
    </row>
    <row r="8" spans="1:30" ht="15">
      <c r="A8" s="1112"/>
      <c r="B8" s="1117"/>
      <c r="C8" s="874" t="s">
        <v>1188</v>
      </c>
      <c r="D8" s="894">
        <v>10890.99</v>
      </c>
      <c r="E8" s="894"/>
      <c r="F8" s="876" t="e">
        <f t="shared" si="0"/>
        <v>#DIV/0!</v>
      </c>
      <c r="G8" s="876" t="e">
        <f t="shared" si="1"/>
        <v>#DIV/0!</v>
      </c>
      <c r="H8" s="876" t="e">
        <f t="shared" si="2"/>
        <v>#DIV/0!</v>
      </c>
      <c r="I8" s="876" t="e">
        <f t="shared" si="3"/>
        <v>#DIV/0!</v>
      </c>
      <c r="J8" s="894">
        <v>2745549</v>
      </c>
      <c r="K8" s="894"/>
      <c r="L8" s="896">
        <f>+J8+K8</f>
        <v>2745549</v>
      </c>
      <c r="M8" s="895">
        <f>D8*J8+E8*K8</f>
        <v>29901746703.51</v>
      </c>
      <c r="N8" s="895" t="e">
        <f>H8*L8</f>
        <v>#DIV/0!</v>
      </c>
      <c r="O8" s="872"/>
      <c r="P8" s="897"/>
      <c r="Q8" s="878"/>
      <c r="R8" s="879" t="e">
        <f t="shared" si="4"/>
        <v>#DIV/0!</v>
      </c>
      <c r="S8" s="879" t="e">
        <f t="shared" si="5"/>
        <v>#DIV/0!</v>
      </c>
      <c r="T8" s="1119"/>
      <c r="U8" s="881">
        <f t="shared" si="6"/>
        <v>10890.99</v>
      </c>
      <c r="V8" s="872">
        <v>24965806</v>
      </c>
      <c r="W8" s="883">
        <f t="shared" si="7"/>
        <v>9.093</v>
      </c>
      <c r="X8" s="881">
        <f t="shared" si="8"/>
        <v>2.33</v>
      </c>
      <c r="Y8" s="884">
        <f t="shared" si="9"/>
        <v>0</v>
      </c>
      <c r="Z8" s="898">
        <f t="shared" si="10"/>
        <v>-24965806</v>
      </c>
      <c r="AA8" s="893" t="e">
        <f t="shared" si="11"/>
        <v>#DIV/0!</v>
      </c>
      <c r="AB8" s="872"/>
      <c r="AC8" s="872"/>
      <c r="AD8" s="107"/>
    </row>
    <row r="9" spans="1:30" ht="15">
      <c r="A9" s="899"/>
      <c r="B9" s="900"/>
      <c r="C9" s="874" t="s">
        <v>1187</v>
      </c>
      <c r="D9" s="901"/>
      <c r="E9" s="901"/>
      <c r="F9" s="876">
        <f t="shared" si="0"/>
        <v>2.33</v>
      </c>
      <c r="G9" s="876">
        <f t="shared" si="1"/>
        <v>0</v>
      </c>
      <c r="H9" s="876">
        <f t="shared" si="2"/>
        <v>2.32</v>
      </c>
      <c r="I9" s="876">
        <f t="shared" si="3"/>
        <v>-199088</v>
      </c>
      <c r="J9" s="901"/>
      <c r="K9" s="894"/>
      <c r="L9" s="902">
        <f>SUM(L7:L8)</f>
        <v>5125222</v>
      </c>
      <c r="M9" s="903">
        <f>SUM(M7:M8)</f>
        <v>55563393118.187996</v>
      </c>
      <c r="N9" s="895"/>
      <c r="O9" s="882">
        <v>21020230</v>
      </c>
      <c r="P9" s="889">
        <v>1111430</v>
      </c>
      <c r="Q9" s="904">
        <v>19908800</v>
      </c>
      <c r="R9" s="879">
        <f t="shared" si="4"/>
        <v>5.287430251714658</v>
      </c>
      <c r="S9" s="890">
        <f t="shared" si="5"/>
        <v>2643.33</v>
      </c>
      <c r="T9" s="905"/>
      <c r="U9" s="881">
        <f t="shared" si="6"/>
        <v>10841.168073926943</v>
      </c>
      <c r="V9" s="892">
        <f>V7+V8</f>
        <v>46391385</v>
      </c>
      <c r="W9" s="883">
        <f t="shared" si="7"/>
        <v>9.052</v>
      </c>
      <c r="X9" s="881">
        <f t="shared" si="8"/>
        <v>2.33</v>
      </c>
      <c r="Y9" s="882">
        <f t="shared" si="9"/>
        <v>46387504</v>
      </c>
      <c r="Z9" s="892">
        <f t="shared" si="10"/>
        <v>-3881</v>
      </c>
      <c r="AA9" s="893">
        <f t="shared" si="11"/>
        <v>86.9322994210091</v>
      </c>
      <c r="AB9" s="872">
        <v>31</v>
      </c>
      <c r="AC9" s="872">
        <v>82061412</v>
      </c>
      <c r="AD9" s="107">
        <v>27772996</v>
      </c>
    </row>
    <row r="10" spans="1:30" ht="15">
      <c r="A10" s="1110">
        <v>3</v>
      </c>
      <c r="B10" s="1116" t="s">
        <v>1199</v>
      </c>
      <c r="C10" s="874" t="s">
        <v>1189</v>
      </c>
      <c r="D10" s="906">
        <v>10890.99</v>
      </c>
      <c r="E10" s="906"/>
      <c r="F10" s="876" t="e">
        <f t="shared" si="0"/>
        <v>#DIV/0!</v>
      </c>
      <c r="G10" s="876" t="e">
        <f t="shared" si="1"/>
        <v>#DIV/0!</v>
      </c>
      <c r="H10" s="876" t="e">
        <f t="shared" si="2"/>
        <v>#DIV/0!</v>
      </c>
      <c r="I10" s="876" t="e">
        <f t="shared" si="3"/>
        <v>#DIV/0!</v>
      </c>
      <c r="J10" s="906">
        <v>2563475</v>
      </c>
      <c r="K10" s="894"/>
      <c r="L10" s="896">
        <f aca="true" t="shared" si="12" ref="L10:L16">+J10+K10</f>
        <v>2563475</v>
      </c>
      <c r="M10" s="895">
        <f>D10*J10+E10*K10</f>
        <v>27918780590.25</v>
      </c>
      <c r="N10" s="895" t="e">
        <f>H10*L10</f>
        <v>#DIV/0!</v>
      </c>
      <c r="O10" s="872"/>
      <c r="P10" s="897"/>
      <c r="Q10" s="878"/>
      <c r="R10" s="879" t="e">
        <f t="shared" si="4"/>
        <v>#DIV/0!</v>
      </c>
      <c r="S10" s="879" t="e">
        <f t="shared" si="5"/>
        <v>#DIV/0!</v>
      </c>
      <c r="T10" s="1118"/>
      <c r="U10" s="881">
        <f t="shared" si="6"/>
        <v>10890.99</v>
      </c>
      <c r="V10" s="872">
        <v>23154225</v>
      </c>
      <c r="W10" s="883">
        <f t="shared" si="7"/>
        <v>9.032</v>
      </c>
      <c r="X10" s="881">
        <f t="shared" si="8"/>
        <v>2.31</v>
      </c>
      <c r="Y10" s="884">
        <f t="shared" si="9"/>
        <v>0</v>
      </c>
      <c r="Z10" s="898">
        <f t="shared" si="10"/>
        <v>-23154225</v>
      </c>
      <c r="AA10" s="893" t="e">
        <f t="shared" si="11"/>
        <v>#DIV/0!</v>
      </c>
      <c r="AB10" s="872"/>
      <c r="AC10" s="872"/>
      <c r="AD10" s="107"/>
    </row>
    <row r="11" spans="1:30" ht="15">
      <c r="A11" s="1112"/>
      <c r="B11" s="1117"/>
      <c r="C11" s="874" t="s">
        <v>1188</v>
      </c>
      <c r="D11" s="906">
        <v>10890.99</v>
      </c>
      <c r="E11" s="906"/>
      <c r="F11" s="876" t="e">
        <f t="shared" si="0"/>
        <v>#DIV/0!</v>
      </c>
      <c r="G11" s="876" t="e">
        <f t="shared" si="1"/>
        <v>#DIV/0!</v>
      </c>
      <c r="H11" s="876" t="e">
        <f t="shared" si="2"/>
        <v>#DIV/0!</v>
      </c>
      <c r="I11" s="876" t="e">
        <f t="shared" si="3"/>
        <v>#DIV/0!</v>
      </c>
      <c r="J11" s="894">
        <v>2606478</v>
      </c>
      <c r="K11" s="894"/>
      <c r="L11" s="896">
        <f t="shared" si="12"/>
        <v>2606478</v>
      </c>
      <c r="M11" s="895">
        <f>D11*J11+E11*K11</f>
        <v>28387125833.22</v>
      </c>
      <c r="N11" s="895" t="e">
        <f>H11*L11</f>
        <v>#DIV/0!</v>
      </c>
      <c r="O11" s="872"/>
      <c r="P11" s="897"/>
      <c r="Q11" s="878"/>
      <c r="R11" s="879" t="e">
        <f t="shared" si="4"/>
        <v>#DIV/0!</v>
      </c>
      <c r="S11" s="879" t="e">
        <f t="shared" si="5"/>
        <v>#DIV/0!</v>
      </c>
      <c r="T11" s="1119"/>
      <c r="U11" s="881">
        <f t="shared" si="6"/>
        <v>10890.99</v>
      </c>
      <c r="V11" s="872">
        <v>23542644</v>
      </c>
      <c r="W11" s="883">
        <f t="shared" si="7"/>
        <v>9.032</v>
      </c>
      <c r="X11" s="881">
        <f t="shared" si="8"/>
        <v>2.31</v>
      </c>
      <c r="Y11" s="884">
        <f t="shared" si="9"/>
        <v>0</v>
      </c>
      <c r="Z11" s="898">
        <f t="shared" si="10"/>
        <v>-23542644</v>
      </c>
      <c r="AA11" s="893" t="e">
        <f t="shared" si="11"/>
        <v>#DIV/0!</v>
      </c>
      <c r="AB11" s="872"/>
      <c r="AC11" s="872"/>
      <c r="AD11" s="107"/>
    </row>
    <row r="12" spans="1:30" ht="15">
      <c r="A12" s="899"/>
      <c r="B12" s="900"/>
      <c r="C12" s="874" t="s">
        <v>1187</v>
      </c>
      <c r="D12" s="907"/>
      <c r="E12" s="907"/>
      <c r="F12" s="876">
        <f t="shared" si="0"/>
        <v>2.32</v>
      </c>
      <c r="G12" s="876">
        <f t="shared" si="1"/>
        <v>193538</v>
      </c>
      <c r="H12" s="876">
        <f t="shared" si="2"/>
        <v>2.4</v>
      </c>
      <c r="I12" s="876">
        <f t="shared" si="3"/>
        <v>1741842</v>
      </c>
      <c r="J12" s="894"/>
      <c r="K12" s="894"/>
      <c r="L12" s="896">
        <f>SUM(L10:L11)</f>
        <v>5169953</v>
      </c>
      <c r="M12" s="903">
        <f>SUM(M10:M11)</f>
        <v>56305906423.47</v>
      </c>
      <c r="N12" s="895">
        <f>H12*L12</f>
        <v>12407887.2</v>
      </c>
      <c r="O12" s="882">
        <v>20502670</v>
      </c>
      <c r="P12" s="889">
        <v>1148870</v>
      </c>
      <c r="Q12" s="878">
        <v>19353800</v>
      </c>
      <c r="R12" s="879">
        <f t="shared" si="4"/>
        <v>5.603514078898017</v>
      </c>
      <c r="S12" s="890">
        <f t="shared" si="5"/>
        <v>2746.27</v>
      </c>
      <c r="T12" s="908"/>
      <c r="U12" s="881">
        <f t="shared" si="6"/>
        <v>10890.99</v>
      </c>
      <c r="V12" s="892">
        <f>V10+V11</f>
        <v>46696869</v>
      </c>
      <c r="W12" s="883">
        <f t="shared" si="7"/>
        <v>9.032</v>
      </c>
      <c r="X12" s="881">
        <f t="shared" si="8"/>
        <v>2.31</v>
      </c>
      <c r="Y12" s="882">
        <f t="shared" si="9"/>
        <v>44707278</v>
      </c>
      <c r="Z12" s="892">
        <f t="shared" si="10"/>
        <v>-1989591</v>
      </c>
      <c r="AA12" s="893">
        <f t="shared" si="11"/>
        <v>87.61824786324786</v>
      </c>
      <c r="AB12" s="872">
        <v>30</v>
      </c>
      <c r="AC12" s="872">
        <v>80598535</v>
      </c>
      <c r="AD12" s="107">
        <v>27791257</v>
      </c>
    </row>
    <row r="13" spans="1:30" ht="15">
      <c r="A13" s="1110">
        <v>4</v>
      </c>
      <c r="B13" s="1113" t="s">
        <v>1198</v>
      </c>
      <c r="C13" s="874" t="s">
        <v>1189</v>
      </c>
      <c r="D13" s="894">
        <v>10858.961</v>
      </c>
      <c r="E13" s="894"/>
      <c r="F13" s="901" t="e">
        <f t="shared" si="0"/>
        <v>#DIV/0!</v>
      </c>
      <c r="G13" s="876" t="e">
        <f t="shared" si="1"/>
        <v>#DIV/0!</v>
      </c>
      <c r="H13" s="909" t="e">
        <f t="shared" si="2"/>
        <v>#DIV/0!</v>
      </c>
      <c r="I13" s="876" t="e">
        <f t="shared" si="3"/>
        <v>#DIV/0!</v>
      </c>
      <c r="J13" s="894">
        <v>2319609</v>
      </c>
      <c r="K13" s="894"/>
      <c r="L13" s="896">
        <f t="shared" si="12"/>
        <v>2319609</v>
      </c>
      <c r="M13" s="895">
        <f>D13*J13+E13*K13</f>
        <v>25188543666.248997</v>
      </c>
      <c r="N13" s="895" t="e">
        <f>H13*L13</f>
        <v>#DIV/0!</v>
      </c>
      <c r="O13" s="872"/>
      <c r="P13" s="897"/>
      <c r="Q13" s="878"/>
      <c r="R13" s="910" t="e">
        <f t="shared" si="4"/>
        <v>#DIV/0!</v>
      </c>
      <c r="S13" s="910" t="e">
        <f t="shared" si="5"/>
        <v>#DIV/0!</v>
      </c>
      <c r="T13" s="1120"/>
      <c r="U13" s="881">
        <f t="shared" si="6"/>
        <v>10858.961</v>
      </c>
      <c r="V13" s="872">
        <v>20906288</v>
      </c>
      <c r="W13" s="883">
        <f t="shared" si="7"/>
        <v>9.013</v>
      </c>
      <c r="X13" s="881">
        <f t="shared" si="8"/>
        <v>2.31</v>
      </c>
      <c r="Y13" s="884">
        <f t="shared" si="9"/>
        <v>0</v>
      </c>
      <c r="Z13" s="898">
        <f t="shared" si="10"/>
        <v>-20906288</v>
      </c>
      <c r="AA13" s="893" t="e">
        <f t="shared" si="11"/>
        <v>#DIV/0!</v>
      </c>
      <c r="AB13" s="872"/>
      <c r="AC13" s="872"/>
      <c r="AD13" s="107"/>
    </row>
    <row r="14" spans="1:30" ht="15">
      <c r="A14" s="1112"/>
      <c r="B14" s="1115"/>
      <c r="C14" s="874" t="s">
        <v>1188</v>
      </c>
      <c r="D14" s="911">
        <v>10825.785</v>
      </c>
      <c r="E14" s="911"/>
      <c r="F14" s="901" t="e">
        <f t="shared" si="0"/>
        <v>#DIV/0!</v>
      </c>
      <c r="G14" s="876" t="e">
        <f t="shared" si="1"/>
        <v>#DIV/0!</v>
      </c>
      <c r="H14" s="909" t="e">
        <f t="shared" si="2"/>
        <v>#DIV/0!</v>
      </c>
      <c r="I14" s="876" t="e">
        <f t="shared" si="3"/>
        <v>#DIV/0!</v>
      </c>
      <c r="J14" s="894">
        <v>2738895</v>
      </c>
      <c r="K14" s="894"/>
      <c r="L14" s="896">
        <f t="shared" si="12"/>
        <v>2738895</v>
      </c>
      <c r="M14" s="895">
        <f>D14*J14+E14*K14</f>
        <v>29650688407.575</v>
      </c>
      <c r="N14" s="895" t="e">
        <f>H14*L14</f>
        <v>#DIV/0!</v>
      </c>
      <c r="O14" s="872"/>
      <c r="P14" s="897"/>
      <c r="Q14" s="878"/>
      <c r="R14" s="910" t="e">
        <f t="shared" si="4"/>
        <v>#DIV/0!</v>
      </c>
      <c r="S14" s="910" t="e">
        <f t="shared" si="5"/>
        <v>#DIV/0!</v>
      </c>
      <c r="T14" s="1120"/>
      <c r="U14" s="881">
        <f t="shared" si="6"/>
        <v>10825.785</v>
      </c>
      <c r="V14" s="872">
        <v>24609786</v>
      </c>
      <c r="W14" s="883">
        <f t="shared" si="7"/>
        <v>8.985</v>
      </c>
      <c r="X14" s="881">
        <f t="shared" si="8"/>
        <v>2.31</v>
      </c>
      <c r="Y14" s="872">
        <f t="shared" si="9"/>
        <v>0</v>
      </c>
      <c r="Z14" s="872">
        <f t="shared" si="10"/>
        <v>-24609786</v>
      </c>
      <c r="AA14" s="893" t="e">
        <f t="shared" si="11"/>
        <v>#DIV/0!</v>
      </c>
      <c r="AB14" s="872"/>
      <c r="AC14" s="872"/>
      <c r="AD14" s="107"/>
    </row>
    <row r="15" spans="1:30" ht="15">
      <c r="A15" s="899"/>
      <c r="B15" s="912"/>
      <c r="C15" s="874" t="s">
        <v>1187</v>
      </c>
      <c r="D15" s="911"/>
      <c r="E15" s="911"/>
      <c r="F15" s="901">
        <f t="shared" si="0"/>
        <v>2.32</v>
      </c>
      <c r="G15" s="876">
        <f t="shared" si="1"/>
        <v>182120</v>
      </c>
      <c r="H15" s="909">
        <f t="shared" si="2"/>
        <v>2.49</v>
      </c>
      <c r="I15" s="876">
        <f t="shared" si="3"/>
        <v>3278160.0000000075</v>
      </c>
      <c r="J15" s="894"/>
      <c r="K15" s="894"/>
      <c r="L15" s="896">
        <f>SUM(L13:L14)</f>
        <v>5058504</v>
      </c>
      <c r="M15" s="903">
        <f>SUM(M13:M14)</f>
        <v>54839232073.824</v>
      </c>
      <c r="N15" s="895" t="e">
        <f>SUM(N13:N14)</f>
        <v>#DIV/0!</v>
      </c>
      <c r="O15" s="903">
        <v>19270090</v>
      </c>
      <c r="P15" s="889">
        <v>1058090</v>
      </c>
      <c r="Q15" s="913">
        <f>O15-P15</f>
        <v>18212000</v>
      </c>
      <c r="R15" s="910">
        <f t="shared" si="4"/>
        <v>5.4908409872501895</v>
      </c>
      <c r="S15" s="914">
        <f t="shared" si="5"/>
        <v>2845.82</v>
      </c>
      <c r="T15" s="915"/>
      <c r="U15" s="881">
        <f t="shared" si="6"/>
        <v>10840.998064610407</v>
      </c>
      <c r="V15" s="892">
        <f>V13+V14</f>
        <v>45516074</v>
      </c>
      <c r="W15" s="883">
        <f t="shared" si="7"/>
        <v>8.998</v>
      </c>
      <c r="X15" s="881">
        <f t="shared" si="8"/>
        <v>2.31</v>
      </c>
      <c r="Y15" s="916">
        <f t="shared" si="9"/>
        <v>42069720</v>
      </c>
      <c r="Z15" s="917">
        <f t="shared" si="10"/>
        <v>-3446354</v>
      </c>
      <c r="AA15" s="893">
        <f t="shared" si="11"/>
        <v>79.6943341604632</v>
      </c>
      <c r="AB15" s="872">
        <v>31</v>
      </c>
      <c r="AC15" s="872">
        <v>77475462</v>
      </c>
      <c r="AD15" s="107">
        <v>27381510</v>
      </c>
    </row>
    <row r="16" spans="1:30" ht="15">
      <c r="A16" s="1110">
        <v>5</v>
      </c>
      <c r="B16" s="1116" t="s">
        <v>1197</v>
      </c>
      <c r="C16" s="874" t="s">
        <v>1189</v>
      </c>
      <c r="D16" s="911">
        <v>10839.211</v>
      </c>
      <c r="E16" s="911"/>
      <c r="F16" s="901" t="e">
        <f t="shared" si="0"/>
        <v>#DIV/0!</v>
      </c>
      <c r="G16" s="876" t="e">
        <f t="shared" si="1"/>
        <v>#DIV/0!</v>
      </c>
      <c r="H16" s="909" t="e">
        <f t="shared" si="2"/>
        <v>#DIV/0!</v>
      </c>
      <c r="I16" s="876" t="e">
        <f t="shared" si="3"/>
        <v>#DIV/0!</v>
      </c>
      <c r="J16" s="894">
        <v>2317602</v>
      </c>
      <c r="K16" s="895"/>
      <c r="L16" s="896">
        <f t="shared" si="12"/>
        <v>2317602</v>
      </c>
      <c r="M16" s="895">
        <f>D16*J16+E16*K16</f>
        <v>25120977092.022</v>
      </c>
      <c r="N16" s="895" t="e">
        <f>G16*K16+H16*L16</f>
        <v>#DIV/0!</v>
      </c>
      <c r="O16" s="872"/>
      <c r="P16" s="897"/>
      <c r="Q16" s="878"/>
      <c r="R16" s="910" t="e">
        <f t="shared" si="4"/>
        <v>#DIV/0!</v>
      </c>
      <c r="S16" s="910" t="e">
        <f t="shared" si="5"/>
        <v>#DIV/0!</v>
      </c>
      <c r="T16" s="1118"/>
      <c r="U16" s="881">
        <f t="shared" si="6"/>
        <v>10839.211</v>
      </c>
      <c r="V16" s="872">
        <v>20671229</v>
      </c>
      <c r="W16" s="883">
        <f t="shared" si="7"/>
        <v>8.919</v>
      </c>
      <c r="X16" s="881">
        <f t="shared" si="8"/>
        <v>2.29</v>
      </c>
      <c r="Y16" s="916">
        <f t="shared" si="9"/>
        <v>0</v>
      </c>
      <c r="Z16" s="872">
        <f t="shared" si="10"/>
        <v>-20671229</v>
      </c>
      <c r="AA16" s="893" t="e">
        <f t="shared" si="11"/>
        <v>#DIV/0!</v>
      </c>
      <c r="AB16" s="872"/>
      <c r="AC16" s="872"/>
      <c r="AD16" s="107"/>
    </row>
    <row r="17" spans="1:30" ht="15">
      <c r="A17" s="1112"/>
      <c r="B17" s="1117"/>
      <c r="C17" s="874" t="s">
        <v>1188</v>
      </c>
      <c r="D17" s="894">
        <v>10790.942</v>
      </c>
      <c r="E17" s="894"/>
      <c r="F17" s="901" t="e">
        <f t="shared" si="0"/>
        <v>#DIV/0!</v>
      </c>
      <c r="G17" s="876" t="e">
        <f t="shared" si="1"/>
        <v>#DIV/0!</v>
      </c>
      <c r="H17" s="909" t="e">
        <f t="shared" si="2"/>
        <v>#DIV/0!</v>
      </c>
      <c r="I17" s="876" t="e">
        <f t="shared" si="3"/>
        <v>#DIV/0!</v>
      </c>
      <c r="J17" s="894">
        <v>2793065</v>
      </c>
      <c r="K17" s="894"/>
      <c r="L17" s="896">
        <f>SUM(J17+K17)</f>
        <v>2793065</v>
      </c>
      <c r="M17" s="895">
        <f>D17*J17+E17*K17</f>
        <v>30139802417.229996</v>
      </c>
      <c r="N17" s="895" t="e">
        <f>H17*L17</f>
        <v>#DIV/0!</v>
      </c>
      <c r="O17" s="872"/>
      <c r="P17" s="897"/>
      <c r="Q17" s="878"/>
      <c r="R17" s="910" t="e">
        <f t="shared" si="4"/>
        <v>#DIV/0!</v>
      </c>
      <c r="S17" s="910" t="e">
        <f t="shared" si="5"/>
        <v>#DIV/0!</v>
      </c>
      <c r="T17" s="1119"/>
      <c r="U17" s="881">
        <f t="shared" si="6"/>
        <v>10790.942</v>
      </c>
      <c r="V17" s="872">
        <v>24801013</v>
      </c>
      <c r="W17" s="883">
        <f t="shared" si="7"/>
        <v>8.879</v>
      </c>
      <c r="X17" s="881">
        <f t="shared" si="8"/>
        <v>2.29</v>
      </c>
      <c r="Y17" s="916">
        <f t="shared" si="9"/>
        <v>0</v>
      </c>
      <c r="Z17" s="872">
        <f t="shared" si="10"/>
        <v>-24801013</v>
      </c>
      <c r="AA17" s="893" t="e">
        <f t="shared" si="11"/>
        <v>#DIV/0!</v>
      </c>
      <c r="AB17" s="872"/>
      <c r="AC17" s="872"/>
      <c r="AD17" s="107"/>
    </row>
    <row r="18" spans="1:30" ht="15">
      <c r="A18" s="899"/>
      <c r="B18" s="900"/>
      <c r="C18" s="874" t="s">
        <v>1187</v>
      </c>
      <c r="D18" s="894"/>
      <c r="E18" s="894"/>
      <c r="F18" s="901">
        <f t="shared" si="0"/>
        <v>2.31</v>
      </c>
      <c r="G18" s="876">
        <f t="shared" si="1"/>
        <v>351692</v>
      </c>
      <c r="H18" s="909">
        <f t="shared" si="2"/>
        <v>2.61</v>
      </c>
      <c r="I18" s="876">
        <f t="shared" si="3"/>
        <v>5627072</v>
      </c>
      <c r="J18" s="901"/>
      <c r="K18" s="894"/>
      <c r="L18" s="896">
        <f>SUM(L16:L17)</f>
        <v>5110667</v>
      </c>
      <c r="M18" s="918">
        <f>SUM(M16:M17)</f>
        <v>55260779509.252</v>
      </c>
      <c r="N18" s="919" t="e">
        <f>SUM(N16:N17)</f>
        <v>#DIV/0!</v>
      </c>
      <c r="O18" s="918">
        <v>18352760</v>
      </c>
      <c r="P18" s="889">
        <v>1066360</v>
      </c>
      <c r="Q18" s="878">
        <v>17584600</v>
      </c>
      <c r="R18" s="910">
        <f t="shared" si="4"/>
        <v>5.810352230400223</v>
      </c>
      <c r="S18" s="914">
        <f t="shared" si="5"/>
        <v>3011.03</v>
      </c>
      <c r="T18" s="908"/>
      <c r="U18" s="881">
        <f t="shared" si="6"/>
        <v>10812.831184119803</v>
      </c>
      <c r="V18" s="892">
        <f>V16+V17</f>
        <v>45472242</v>
      </c>
      <c r="W18" s="883">
        <f t="shared" si="7"/>
        <v>8.898</v>
      </c>
      <c r="X18" s="881">
        <f t="shared" si="8"/>
        <v>2.29</v>
      </c>
      <c r="Y18" s="916">
        <f t="shared" si="9"/>
        <v>40268734</v>
      </c>
      <c r="Z18" s="917">
        <f t="shared" si="10"/>
        <v>-5203508</v>
      </c>
      <c r="AA18" s="893">
        <f t="shared" si="11"/>
        <v>75.90057899090156</v>
      </c>
      <c r="AB18" s="872">
        <v>31</v>
      </c>
      <c r="AC18" s="872">
        <v>72306948</v>
      </c>
      <c r="AD18" s="107">
        <v>23771833</v>
      </c>
    </row>
    <row r="19" spans="1:29" ht="15">
      <c r="A19" s="1110">
        <v>6</v>
      </c>
      <c r="B19" s="1116" t="s">
        <v>1196</v>
      </c>
      <c r="C19" s="874" t="s">
        <v>1189</v>
      </c>
      <c r="D19" s="906">
        <v>10798.042</v>
      </c>
      <c r="E19" s="906">
        <v>0</v>
      </c>
      <c r="F19" s="901" t="e">
        <f t="shared" si="0"/>
        <v>#DIV/0!</v>
      </c>
      <c r="G19" s="876" t="e">
        <f t="shared" si="1"/>
        <v>#DIV/0!</v>
      </c>
      <c r="H19" s="909" t="e">
        <f t="shared" si="2"/>
        <v>#DIV/0!</v>
      </c>
      <c r="I19" s="876" t="e">
        <f t="shared" si="3"/>
        <v>#DIV/0!</v>
      </c>
      <c r="J19" s="907">
        <v>2658844</v>
      </c>
      <c r="K19" s="894"/>
      <c r="L19" s="896">
        <f>J19+K19</f>
        <v>2658844</v>
      </c>
      <c r="M19" s="895">
        <f>D19*J19+E19*K19</f>
        <v>28710309183.447998</v>
      </c>
      <c r="N19" s="895"/>
      <c r="O19" s="872"/>
      <c r="P19" s="897"/>
      <c r="Q19" s="878"/>
      <c r="R19" s="910" t="e">
        <f t="shared" si="4"/>
        <v>#DIV/0!</v>
      </c>
      <c r="S19" s="914" t="e">
        <f t="shared" si="5"/>
        <v>#DIV/0!</v>
      </c>
      <c r="T19" s="1120"/>
      <c r="U19" s="881">
        <f t="shared" si="6"/>
        <v>10798.042</v>
      </c>
      <c r="V19" s="898">
        <v>23534979</v>
      </c>
      <c r="W19" s="883">
        <f t="shared" si="7"/>
        <v>8.852</v>
      </c>
      <c r="X19" s="881">
        <f t="shared" si="8"/>
        <v>2.28</v>
      </c>
      <c r="Y19" s="916">
        <f t="shared" si="9"/>
        <v>0</v>
      </c>
      <c r="Z19" s="917">
        <f t="shared" si="10"/>
        <v>-23534979</v>
      </c>
      <c r="AA19" s="893" t="e">
        <f t="shared" si="11"/>
        <v>#DIV/0!</v>
      </c>
      <c r="AB19" s="872"/>
      <c r="AC19" s="872"/>
    </row>
    <row r="20" spans="1:29" ht="15">
      <c r="A20" s="1112"/>
      <c r="B20" s="1117"/>
      <c r="C20" s="874" t="s">
        <v>1188</v>
      </c>
      <c r="D20" s="907">
        <v>10818.262</v>
      </c>
      <c r="E20" s="907"/>
      <c r="F20" s="901" t="e">
        <f t="shared" si="0"/>
        <v>#DIV/0!</v>
      </c>
      <c r="G20" s="876" t="e">
        <f t="shared" si="1"/>
        <v>#DIV/0!</v>
      </c>
      <c r="H20" s="909" t="e">
        <f t="shared" si="2"/>
        <v>#DIV/0!</v>
      </c>
      <c r="I20" s="876" t="e">
        <f t="shared" si="3"/>
        <v>#DIV/0!</v>
      </c>
      <c r="J20" s="894">
        <v>2633746</v>
      </c>
      <c r="K20" s="894"/>
      <c r="L20" s="896">
        <f>J20+K20</f>
        <v>2633746</v>
      </c>
      <c r="M20" s="895">
        <f>D20*J20+E20*K20</f>
        <v>28492554269.452003</v>
      </c>
      <c r="N20" s="895"/>
      <c r="O20" s="872"/>
      <c r="P20" s="889"/>
      <c r="Q20" s="904"/>
      <c r="R20" s="910" t="e">
        <f t="shared" si="4"/>
        <v>#DIV/0!</v>
      </c>
      <c r="S20" s="914" t="e">
        <f t="shared" si="5"/>
        <v>#DIV/0!</v>
      </c>
      <c r="T20" s="1120"/>
      <c r="U20" s="881">
        <f t="shared" si="6"/>
        <v>10818.262</v>
      </c>
      <c r="V20" s="892">
        <v>23374278</v>
      </c>
      <c r="W20" s="883">
        <f t="shared" si="7"/>
        <v>8.875</v>
      </c>
      <c r="X20" s="881">
        <f t="shared" si="8"/>
        <v>2.28</v>
      </c>
      <c r="Y20" s="916">
        <f t="shared" si="9"/>
        <v>0</v>
      </c>
      <c r="Z20" s="917">
        <f t="shared" si="10"/>
        <v>-23374278</v>
      </c>
      <c r="AA20" s="893" t="e">
        <f t="shared" si="11"/>
        <v>#DIV/0!</v>
      </c>
      <c r="AB20" s="872"/>
      <c r="AC20" s="872"/>
    </row>
    <row r="21" spans="1:30" ht="15">
      <c r="A21" s="899"/>
      <c r="B21" s="900"/>
      <c r="C21" s="874" t="s">
        <v>1187</v>
      </c>
      <c r="D21" s="907"/>
      <c r="E21" s="907"/>
      <c r="F21" s="901">
        <f t="shared" si="0"/>
        <v>2.3</v>
      </c>
      <c r="G21" s="876">
        <f t="shared" si="1"/>
        <v>356256</v>
      </c>
      <c r="H21" s="909">
        <f t="shared" si="2"/>
        <v>2.62</v>
      </c>
      <c r="I21" s="876">
        <f t="shared" si="3"/>
        <v>6056352</v>
      </c>
      <c r="J21" s="894"/>
      <c r="K21" s="894"/>
      <c r="L21" s="902">
        <f>L19+L20</f>
        <v>5292590</v>
      </c>
      <c r="M21" s="902">
        <f>M19+M20</f>
        <v>57202863452.9</v>
      </c>
      <c r="N21" s="895"/>
      <c r="O21" s="882">
        <v>18866390</v>
      </c>
      <c r="P21" s="889">
        <v>1053590</v>
      </c>
      <c r="Q21" s="904">
        <v>17812800</v>
      </c>
      <c r="R21" s="910">
        <f t="shared" si="4"/>
        <v>5.5844811858548455</v>
      </c>
      <c r="S21" s="914">
        <f t="shared" si="5"/>
        <v>3032</v>
      </c>
      <c r="T21" s="920"/>
      <c r="U21" s="881">
        <f t="shared" si="6"/>
        <v>10808.104057351882</v>
      </c>
      <c r="V21" s="892">
        <f>V19+V20</f>
        <v>46909257</v>
      </c>
      <c r="W21" s="883">
        <f t="shared" si="7"/>
        <v>8.863</v>
      </c>
      <c r="X21" s="881">
        <f t="shared" si="8"/>
        <v>2.28</v>
      </c>
      <c r="Y21" s="916">
        <f t="shared" si="9"/>
        <v>40613184</v>
      </c>
      <c r="Z21" s="917">
        <f t="shared" si="10"/>
        <v>-6296073</v>
      </c>
      <c r="AA21" s="893">
        <f t="shared" si="11"/>
        <v>80.62559829059829</v>
      </c>
      <c r="AB21" s="872">
        <v>30</v>
      </c>
      <c r="AC21" s="872">
        <v>74875740</v>
      </c>
      <c r="AD21" s="107">
        <v>25996175</v>
      </c>
    </row>
    <row r="22" spans="1:29" ht="15">
      <c r="A22" s="921">
        <v>7</v>
      </c>
      <c r="B22" s="922" t="s">
        <v>1195</v>
      </c>
      <c r="C22" s="874" t="s">
        <v>1189</v>
      </c>
      <c r="D22" s="153">
        <v>10798.042</v>
      </c>
      <c r="E22" s="153">
        <v>0</v>
      </c>
      <c r="F22" s="901" t="e">
        <f t="shared" si="0"/>
        <v>#DIV/0!</v>
      </c>
      <c r="G22" s="876" t="e">
        <f t="shared" si="1"/>
        <v>#DIV/0!</v>
      </c>
      <c r="H22" s="909" t="e">
        <f t="shared" si="2"/>
        <v>#DIV/0!</v>
      </c>
      <c r="I22" s="876" t="e">
        <f t="shared" si="3"/>
        <v>#DIV/0!</v>
      </c>
      <c r="J22" s="153">
        <v>2566705</v>
      </c>
      <c r="K22" s="153"/>
      <c r="L22" s="902">
        <f>J22+K22</f>
        <v>2566705</v>
      </c>
      <c r="M22" s="902">
        <f>D22*J22+E22*K22</f>
        <v>27715388391.609997</v>
      </c>
      <c r="N22" s="923"/>
      <c r="O22" s="894"/>
      <c r="P22" s="889"/>
      <c r="Q22" s="894"/>
      <c r="R22" s="910" t="e">
        <f t="shared" si="4"/>
        <v>#DIV/0!</v>
      </c>
      <c r="S22" s="914" t="e">
        <f t="shared" si="5"/>
        <v>#DIV/0!</v>
      </c>
      <c r="T22" s="920"/>
      <c r="U22" s="881">
        <f t="shared" si="6"/>
        <v>10798.042</v>
      </c>
      <c r="V22" s="892">
        <v>17508912</v>
      </c>
      <c r="W22" s="883">
        <f t="shared" si="7"/>
        <v>6.822</v>
      </c>
      <c r="X22" s="881">
        <f t="shared" si="8"/>
        <v>1.76</v>
      </c>
      <c r="Y22" s="916">
        <f t="shared" si="9"/>
        <v>0</v>
      </c>
      <c r="Z22" s="917">
        <f t="shared" si="10"/>
        <v>-17508912</v>
      </c>
      <c r="AA22" s="893" t="e">
        <f t="shared" si="11"/>
        <v>#DIV/0!</v>
      </c>
      <c r="AB22" s="872"/>
      <c r="AC22" s="872"/>
    </row>
    <row r="23" spans="1:29" ht="15">
      <c r="A23" s="1121"/>
      <c r="B23" s="1122"/>
      <c r="C23" s="874" t="s">
        <v>1188</v>
      </c>
      <c r="D23" s="153">
        <v>10818.262</v>
      </c>
      <c r="E23" s="153">
        <v>0</v>
      </c>
      <c r="F23" s="901" t="e">
        <f t="shared" si="0"/>
        <v>#DIV/0!</v>
      </c>
      <c r="G23" s="876" t="e">
        <f t="shared" si="1"/>
        <v>#DIV/0!</v>
      </c>
      <c r="H23" s="909" t="e">
        <f t="shared" si="2"/>
        <v>#DIV/0!</v>
      </c>
      <c r="I23" s="876" t="e">
        <f t="shared" si="3"/>
        <v>#DIV/0!</v>
      </c>
      <c r="J23" s="153">
        <v>2785160</v>
      </c>
      <c r="K23" s="153"/>
      <c r="L23" s="902">
        <f>J23+K23</f>
        <v>2785160</v>
      </c>
      <c r="M23" s="902">
        <f>D23*J23+E23*K23</f>
        <v>30130590591.920002</v>
      </c>
      <c r="N23" s="895"/>
      <c r="O23" s="872"/>
      <c r="P23" s="889"/>
      <c r="Q23" s="924"/>
      <c r="R23" s="910" t="e">
        <f t="shared" si="4"/>
        <v>#DIV/0!</v>
      </c>
      <c r="S23" s="914" t="e">
        <f t="shared" si="5"/>
        <v>#DIV/0!</v>
      </c>
      <c r="T23" s="1120"/>
      <c r="U23" s="881">
        <f t="shared" si="6"/>
        <v>10818.262</v>
      </c>
      <c r="V23" s="892">
        <v>19013052</v>
      </c>
      <c r="W23" s="883">
        <f t="shared" si="7"/>
        <v>6.827</v>
      </c>
      <c r="X23" s="881">
        <f t="shared" si="8"/>
        <v>1.76</v>
      </c>
      <c r="Y23" s="916">
        <f t="shared" si="9"/>
        <v>0</v>
      </c>
      <c r="Z23" s="917">
        <f t="shared" si="10"/>
        <v>-19013052</v>
      </c>
      <c r="AA23" s="893" t="e">
        <f t="shared" si="11"/>
        <v>#DIV/0!</v>
      </c>
      <c r="AB23" s="872"/>
      <c r="AC23" s="872"/>
    </row>
    <row r="24" spans="1:30" ht="15">
      <c r="A24" s="1121"/>
      <c r="B24" s="1122"/>
      <c r="C24" s="874" t="s">
        <v>1187</v>
      </c>
      <c r="D24" s="894"/>
      <c r="E24" s="894"/>
      <c r="F24" s="901">
        <f t="shared" si="0"/>
        <v>1.76</v>
      </c>
      <c r="G24" s="876">
        <f t="shared" si="1"/>
        <v>0</v>
      </c>
      <c r="H24" s="909">
        <f t="shared" si="2"/>
        <v>1.77</v>
      </c>
      <c r="I24" s="876">
        <f t="shared" si="3"/>
        <v>205380</v>
      </c>
      <c r="J24" s="894"/>
      <c r="K24" s="894"/>
      <c r="L24" s="902">
        <f aca="true" t="shared" si="13" ref="L24:M27">L22+L23</f>
        <v>5351865</v>
      </c>
      <c r="M24" s="902">
        <f t="shared" si="13"/>
        <v>57845978983.53</v>
      </c>
      <c r="N24" s="895"/>
      <c r="O24" s="917">
        <v>21693750</v>
      </c>
      <c r="P24" s="889">
        <v>1155750</v>
      </c>
      <c r="Q24" s="925">
        <v>20538000</v>
      </c>
      <c r="R24" s="910">
        <f t="shared" si="4"/>
        <v>5.327571305099395</v>
      </c>
      <c r="S24" s="914">
        <f t="shared" si="5"/>
        <v>2666.48</v>
      </c>
      <c r="T24" s="1120"/>
      <c r="U24" s="881">
        <f t="shared" si="6"/>
        <v>10808.564674843255</v>
      </c>
      <c r="V24" s="892">
        <v>36521964</v>
      </c>
      <c r="W24" s="883">
        <f t="shared" si="7"/>
        <v>6.824</v>
      </c>
      <c r="X24" s="881">
        <f t="shared" si="8"/>
        <v>1.76</v>
      </c>
      <c r="Y24" s="916">
        <f t="shared" si="9"/>
        <v>36146880</v>
      </c>
      <c r="Z24" s="917">
        <f t="shared" si="10"/>
        <v>-375084</v>
      </c>
      <c r="AA24" s="893">
        <f t="shared" si="11"/>
        <v>89.71774193548387</v>
      </c>
      <c r="AB24" s="872">
        <v>31</v>
      </c>
      <c r="AC24" s="872">
        <v>74875740</v>
      </c>
      <c r="AD24" s="107">
        <v>25996175</v>
      </c>
    </row>
    <row r="25" spans="1:30" ht="15">
      <c r="A25" s="854">
        <v>8</v>
      </c>
      <c r="B25" s="926" t="s">
        <v>1194</v>
      </c>
      <c r="C25" s="874" t="s">
        <v>1189</v>
      </c>
      <c r="D25" s="894">
        <v>10816.422</v>
      </c>
      <c r="E25" s="894">
        <v>0</v>
      </c>
      <c r="F25" s="901" t="e">
        <f t="shared" si="0"/>
        <v>#DIV/0!</v>
      </c>
      <c r="G25" s="876" t="e">
        <f t="shared" si="1"/>
        <v>#DIV/0!</v>
      </c>
      <c r="H25" s="909" t="e">
        <f t="shared" si="2"/>
        <v>#DIV/0!</v>
      </c>
      <c r="I25" s="876" t="e">
        <f t="shared" si="3"/>
        <v>#DIV/0!</v>
      </c>
      <c r="J25" s="894">
        <v>2560408</v>
      </c>
      <c r="K25" s="894"/>
      <c r="L25" s="902">
        <f>J25+K25</f>
        <v>2560408</v>
      </c>
      <c r="M25" s="902">
        <f>D25*J25+E25*K25</f>
        <v>27694453420.176003</v>
      </c>
      <c r="N25" s="923"/>
      <c r="O25" s="894"/>
      <c r="P25" s="889"/>
      <c r="Q25" s="927"/>
      <c r="R25" s="910" t="e">
        <f t="shared" si="4"/>
        <v>#DIV/0!</v>
      </c>
      <c r="S25" s="914" t="e">
        <f t="shared" si="5"/>
        <v>#DIV/0!</v>
      </c>
      <c r="T25" s="920"/>
      <c r="U25" s="881">
        <f t="shared" si="6"/>
        <v>10816.422</v>
      </c>
      <c r="V25" s="892">
        <v>17450420</v>
      </c>
      <c r="W25" s="883">
        <f t="shared" si="7"/>
        <v>6.815</v>
      </c>
      <c r="X25" s="881">
        <f t="shared" si="8"/>
        <v>1.75</v>
      </c>
      <c r="Y25" s="916">
        <f t="shared" si="9"/>
        <v>0</v>
      </c>
      <c r="Z25" s="917">
        <f t="shared" si="10"/>
        <v>-17450420</v>
      </c>
      <c r="AA25" s="893" t="e">
        <f t="shared" si="11"/>
        <v>#DIV/0!</v>
      </c>
      <c r="AB25" s="872">
        <v>0</v>
      </c>
      <c r="AC25" s="872"/>
      <c r="AD25" s="107"/>
    </row>
    <row r="26" spans="1:30" ht="15">
      <c r="A26" s="854"/>
      <c r="B26" s="1113"/>
      <c r="C26" s="874" t="s">
        <v>1188</v>
      </c>
      <c r="D26" s="876">
        <v>10794.705</v>
      </c>
      <c r="E26" s="876">
        <v>0</v>
      </c>
      <c r="F26" s="901" t="e">
        <f t="shared" si="0"/>
        <v>#DIV/0!</v>
      </c>
      <c r="G26" s="876" t="e">
        <f t="shared" si="1"/>
        <v>#DIV/0!</v>
      </c>
      <c r="H26" s="909" t="e">
        <f t="shared" si="2"/>
        <v>#DIV/0!</v>
      </c>
      <c r="I26" s="876" t="e">
        <f t="shared" si="3"/>
        <v>#DIV/0!</v>
      </c>
      <c r="J26" s="876">
        <v>2550542</v>
      </c>
      <c r="K26" s="876"/>
      <c r="L26" s="902">
        <f>J26+K26</f>
        <v>2550542</v>
      </c>
      <c r="M26" s="902">
        <f>D26*J26+E26*K26</f>
        <v>27532348480.11</v>
      </c>
      <c r="N26" s="887"/>
      <c r="O26" s="876"/>
      <c r="P26" s="889"/>
      <c r="Q26" s="928"/>
      <c r="R26" s="910" t="e">
        <f t="shared" si="4"/>
        <v>#DIV/0!</v>
      </c>
      <c r="S26" s="914" t="e">
        <f t="shared" si="5"/>
        <v>#DIV/0!</v>
      </c>
      <c r="T26" s="929"/>
      <c r="U26" s="881">
        <f t="shared" si="6"/>
        <v>10794.705</v>
      </c>
      <c r="V26" s="892">
        <v>17348241</v>
      </c>
      <c r="W26" s="883">
        <f t="shared" si="7"/>
        <v>6.802</v>
      </c>
      <c r="X26" s="881">
        <f t="shared" si="8"/>
        <v>1.76</v>
      </c>
      <c r="Y26" s="916">
        <f t="shared" si="9"/>
        <v>0</v>
      </c>
      <c r="Z26" s="917">
        <f t="shared" si="10"/>
        <v>-17348241</v>
      </c>
      <c r="AA26" s="893" t="e">
        <f t="shared" si="11"/>
        <v>#DIV/0!</v>
      </c>
      <c r="AB26" s="872">
        <v>0</v>
      </c>
      <c r="AC26" s="873"/>
      <c r="AD26" s="107"/>
    </row>
    <row r="27" spans="1:30" ht="15">
      <c r="A27" s="854"/>
      <c r="B27" s="1115"/>
      <c r="C27" s="874" t="s">
        <v>1187</v>
      </c>
      <c r="D27" s="875"/>
      <c r="E27" s="875"/>
      <c r="F27" s="901">
        <f t="shared" si="0"/>
        <v>1.76</v>
      </c>
      <c r="G27" s="876">
        <f t="shared" si="1"/>
        <v>0</v>
      </c>
      <c r="H27" s="909">
        <f t="shared" si="2"/>
        <v>1.87</v>
      </c>
      <c r="I27" s="876">
        <f t="shared" si="3"/>
        <v>2036342</v>
      </c>
      <c r="J27" s="876"/>
      <c r="K27" s="876"/>
      <c r="L27" s="902">
        <f t="shared" si="13"/>
        <v>5110950</v>
      </c>
      <c r="M27" s="902">
        <f t="shared" si="13"/>
        <v>55226801900.286</v>
      </c>
      <c r="N27" s="887"/>
      <c r="O27" s="887">
        <v>19587170</v>
      </c>
      <c r="P27" s="889">
        <v>1074970</v>
      </c>
      <c r="Q27" s="887">
        <v>18512200</v>
      </c>
      <c r="R27" s="910">
        <f t="shared" si="4"/>
        <v>5.48813330358597</v>
      </c>
      <c r="S27" s="914">
        <f t="shared" si="5"/>
        <v>2819.54</v>
      </c>
      <c r="T27" s="929"/>
      <c r="U27" s="881">
        <f t="shared" si="6"/>
        <v>10805.584460870485</v>
      </c>
      <c r="V27" s="892">
        <f>V25+V26</f>
        <v>34798661</v>
      </c>
      <c r="W27" s="883">
        <f t="shared" si="7"/>
        <v>6.809</v>
      </c>
      <c r="X27" s="881">
        <f t="shared" si="8"/>
        <v>1.76</v>
      </c>
      <c r="Y27" s="916">
        <f t="shared" si="9"/>
        <v>32581472</v>
      </c>
      <c r="Z27" s="917">
        <f t="shared" si="10"/>
        <v>-2217189</v>
      </c>
      <c r="AA27" s="893">
        <f t="shared" si="11"/>
        <v>83.7058547008547</v>
      </c>
      <c r="AB27" s="872">
        <v>30</v>
      </c>
      <c r="AC27" s="873">
        <v>59690587</v>
      </c>
      <c r="AD27" s="107">
        <v>27127857</v>
      </c>
    </row>
    <row r="28" spans="1:30" ht="15">
      <c r="A28" s="1121">
        <v>9</v>
      </c>
      <c r="B28" s="1122" t="s">
        <v>1193</v>
      </c>
      <c r="C28" s="874" t="s">
        <v>1189</v>
      </c>
      <c r="D28" s="894">
        <v>10790.001</v>
      </c>
      <c r="E28" s="876">
        <v>0</v>
      </c>
      <c r="F28" s="901" t="e">
        <f t="shared" si="0"/>
        <v>#DIV/0!</v>
      </c>
      <c r="G28" s="876" t="e">
        <f t="shared" si="1"/>
        <v>#DIV/0!</v>
      </c>
      <c r="H28" s="909" t="e">
        <f t="shared" si="2"/>
        <v>#DIV/0!</v>
      </c>
      <c r="I28" s="876" t="e">
        <f t="shared" si="3"/>
        <v>#DIV/0!</v>
      </c>
      <c r="J28" s="876">
        <v>2532837</v>
      </c>
      <c r="K28" s="875"/>
      <c r="L28" s="876">
        <f>J28+K28</f>
        <v>2532837</v>
      </c>
      <c r="M28" s="902">
        <f aca="true" t="shared" si="14" ref="M28:M38">D28*J28+E28*K28</f>
        <v>27329313762.837</v>
      </c>
      <c r="N28" s="877"/>
      <c r="O28" s="873"/>
      <c r="P28" s="889"/>
      <c r="Q28" s="878"/>
      <c r="R28" s="910" t="e">
        <f t="shared" si="4"/>
        <v>#DIV/0!</v>
      </c>
      <c r="S28" s="914" t="e">
        <f t="shared" si="5"/>
        <v>#DIV/0!</v>
      </c>
      <c r="T28" s="1123"/>
      <c r="U28" s="881">
        <f t="shared" si="6"/>
        <v>10790.001</v>
      </c>
      <c r="V28" s="892">
        <v>17370848</v>
      </c>
      <c r="W28" s="883">
        <f t="shared" si="7"/>
        <v>6.858</v>
      </c>
      <c r="X28" s="881">
        <f t="shared" si="8"/>
        <v>1.77</v>
      </c>
      <c r="Y28" s="916">
        <f t="shared" si="9"/>
        <v>0</v>
      </c>
      <c r="Z28" s="917">
        <f t="shared" si="10"/>
        <v>-17370848</v>
      </c>
      <c r="AA28" s="893" t="e">
        <f t="shared" si="11"/>
        <v>#DIV/0!</v>
      </c>
      <c r="AB28" s="872">
        <v>0</v>
      </c>
      <c r="AC28" s="873"/>
      <c r="AD28" s="107"/>
    </row>
    <row r="29" spans="1:30" ht="15">
      <c r="A29" s="1121"/>
      <c r="B29" s="1122"/>
      <c r="C29" s="874" t="s">
        <v>1188</v>
      </c>
      <c r="D29" s="894">
        <v>10823.607</v>
      </c>
      <c r="E29" s="875">
        <v>0</v>
      </c>
      <c r="F29" s="901" t="e">
        <f t="shared" si="0"/>
        <v>#DIV/0!</v>
      </c>
      <c r="G29" s="876" t="e">
        <f t="shared" si="1"/>
        <v>#DIV/0!</v>
      </c>
      <c r="H29" s="909" t="e">
        <f t="shared" si="2"/>
        <v>#DIV/0!</v>
      </c>
      <c r="I29" s="876" t="e">
        <f t="shared" si="3"/>
        <v>#DIV/0!</v>
      </c>
      <c r="J29" s="876">
        <v>2784323</v>
      </c>
      <c r="K29" s="875"/>
      <c r="L29" s="876">
        <f aca="true" t="shared" si="15" ref="L29:L38">J29+K29</f>
        <v>2784323</v>
      </c>
      <c r="M29" s="902">
        <f t="shared" si="14"/>
        <v>30136417913.061</v>
      </c>
      <c r="N29" s="877"/>
      <c r="O29" s="873"/>
      <c r="P29" s="889"/>
      <c r="Q29" s="930"/>
      <c r="R29" s="910" t="e">
        <f t="shared" si="4"/>
        <v>#DIV/0!</v>
      </c>
      <c r="S29" s="914" t="e">
        <f t="shared" si="5"/>
        <v>#DIV/0!</v>
      </c>
      <c r="T29" s="1123"/>
      <c r="U29" s="881">
        <f t="shared" si="6"/>
        <v>10823.607</v>
      </c>
      <c r="V29" s="892">
        <v>19155131</v>
      </c>
      <c r="W29" s="883">
        <f t="shared" si="7"/>
        <v>6.88</v>
      </c>
      <c r="X29" s="881">
        <f t="shared" si="8"/>
        <v>1.77</v>
      </c>
      <c r="Y29" s="916">
        <f t="shared" si="9"/>
        <v>0</v>
      </c>
      <c r="Z29" s="917">
        <f t="shared" si="10"/>
        <v>-19155131</v>
      </c>
      <c r="AA29" s="893" t="e">
        <f t="shared" si="11"/>
        <v>#DIV/0!</v>
      </c>
      <c r="AB29" s="872">
        <v>0</v>
      </c>
      <c r="AC29" s="873"/>
      <c r="AD29" s="107"/>
    </row>
    <row r="30" spans="1:30" ht="15">
      <c r="A30" s="854"/>
      <c r="B30" s="926"/>
      <c r="C30" s="874" t="s">
        <v>1187</v>
      </c>
      <c r="D30" s="875"/>
      <c r="E30" s="875"/>
      <c r="F30" s="901">
        <f t="shared" si="0"/>
        <v>1.78</v>
      </c>
      <c r="G30" s="876">
        <f t="shared" si="1"/>
        <v>198408</v>
      </c>
      <c r="H30" s="909">
        <f t="shared" si="2"/>
        <v>1.83</v>
      </c>
      <c r="I30" s="876">
        <f t="shared" si="3"/>
        <v>1190448</v>
      </c>
      <c r="J30" s="876"/>
      <c r="K30" s="875"/>
      <c r="L30" s="887">
        <f>L28+L29</f>
        <v>5317160</v>
      </c>
      <c r="M30" s="876">
        <f>M28+M29</f>
        <v>57465731675.898</v>
      </c>
      <c r="N30" s="887"/>
      <c r="O30" s="887">
        <v>21000370</v>
      </c>
      <c r="P30" s="889">
        <v>1159570</v>
      </c>
      <c r="Q30" s="887">
        <v>19840800</v>
      </c>
      <c r="R30" s="910">
        <f t="shared" si="4"/>
        <v>5.521664618290059</v>
      </c>
      <c r="S30" s="914">
        <f t="shared" si="5"/>
        <v>2736.42</v>
      </c>
      <c r="T30" s="929"/>
      <c r="U30" s="881">
        <f t="shared" si="6"/>
        <v>10807.59873238684</v>
      </c>
      <c r="V30" s="892">
        <v>36525979</v>
      </c>
      <c r="W30" s="883">
        <f t="shared" si="7"/>
        <v>6.869</v>
      </c>
      <c r="X30" s="881">
        <f t="shared" si="8"/>
        <v>1.77</v>
      </c>
      <c r="Y30" s="916">
        <f t="shared" si="9"/>
        <v>35118216</v>
      </c>
      <c r="Z30" s="917">
        <f t="shared" si="10"/>
        <v>-1407763</v>
      </c>
      <c r="AA30" s="893">
        <f t="shared" si="11"/>
        <v>86.85016542597188</v>
      </c>
      <c r="AB30" s="872">
        <v>31</v>
      </c>
      <c r="AC30" s="873">
        <v>63375033</v>
      </c>
      <c r="AD30" s="107">
        <v>28090437</v>
      </c>
    </row>
    <row r="31" spans="1:30" ht="15">
      <c r="A31" s="1121">
        <v>10</v>
      </c>
      <c r="B31" s="1122" t="s">
        <v>1192</v>
      </c>
      <c r="C31" s="874" t="s">
        <v>1189</v>
      </c>
      <c r="D31" s="875">
        <v>10830.202</v>
      </c>
      <c r="E31" s="875">
        <v>0</v>
      </c>
      <c r="F31" s="901" t="e">
        <f t="shared" si="0"/>
        <v>#DIV/0!</v>
      </c>
      <c r="G31" s="876" t="e">
        <f t="shared" si="1"/>
        <v>#DIV/0!</v>
      </c>
      <c r="H31" s="909" t="e">
        <f t="shared" si="2"/>
        <v>#DIV/0!</v>
      </c>
      <c r="I31" s="876" t="e">
        <f t="shared" si="3"/>
        <v>#DIV/0!</v>
      </c>
      <c r="J31" s="875">
        <v>2456339</v>
      </c>
      <c r="K31" s="875"/>
      <c r="L31" s="876">
        <f t="shared" si="15"/>
        <v>2456339</v>
      </c>
      <c r="M31" s="902">
        <f t="shared" si="14"/>
        <v>26602647550.477997</v>
      </c>
      <c r="N31" s="877"/>
      <c r="O31" s="873"/>
      <c r="P31" s="889"/>
      <c r="Q31" s="878"/>
      <c r="R31" s="910" t="e">
        <f t="shared" si="4"/>
        <v>#DIV/0!</v>
      </c>
      <c r="S31" s="914" t="e">
        <f t="shared" si="5"/>
        <v>#DIV/0!</v>
      </c>
      <c r="T31" s="1123"/>
      <c r="U31" s="881">
        <f t="shared" si="6"/>
        <v>10830.202</v>
      </c>
      <c r="V31" s="892">
        <v>16788341</v>
      </c>
      <c r="W31" s="883">
        <f t="shared" si="7"/>
        <v>6.835</v>
      </c>
      <c r="X31" s="881">
        <f t="shared" si="8"/>
        <v>1.76</v>
      </c>
      <c r="Y31" s="916"/>
      <c r="Z31" s="917">
        <f t="shared" si="10"/>
        <v>-16788341</v>
      </c>
      <c r="AA31" s="893" t="e">
        <f t="shared" si="11"/>
        <v>#DIV/0!</v>
      </c>
      <c r="AB31" s="872">
        <v>0</v>
      </c>
      <c r="AC31" s="873"/>
      <c r="AD31" s="107"/>
    </row>
    <row r="32" spans="1:30" ht="15">
      <c r="A32" s="1121"/>
      <c r="B32" s="1122"/>
      <c r="C32" s="874" t="s">
        <v>1188</v>
      </c>
      <c r="D32" s="931">
        <v>10831.658</v>
      </c>
      <c r="E32" s="931">
        <v>0</v>
      </c>
      <c r="F32" s="901" t="e">
        <f t="shared" si="0"/>
        <v>#DIV/0!</v>
      </c>
      <c r="G32" s="876" t="e">
        <f t="shared" si="1"/>
        <v>#DIV/0!</v>
      </c>
      <c r="H32" s="909" t="e">
        <f t="shared" si="2"/>
        <v>#DIV/0!</v>
      </c>
      <c r="I32" s="876" t="e">
        <f t="shared" si="3"/>
        <v>#DIV/0!</v>
      </c>
      <c r="J32" s="875">
        <v>1934331</v>
      </c>
      <c r="K32" s="875"/>
      <c r="L32" s="876">
        <f t="shared" si="15"/>
        <v>1934331</v>
      </c>
      <c r="M32" s="902">
        <f t="shared" si="14"/>
        <v>20952011850.798</v>
      </c>
      <c r="N32" s="877"/>
      <c r="O32" s="873"/>
      <c r="P32" s="889"/>
      <c r="Q32" s="930"/>
      <c r="R32" s="910" t="e">
        <f t="shared" si="4"/>
        <v>#DIV/0!</v>
      </c>
      <c r="S32" s="914" t="e">
        <f t="shared" si="5"/>
        <v>#DIV/0!</v>
      </c>
      <c r="T32" s="1123"/>
      <c r="U32" s="881">
        <f t="shared" si="6"/>
        <v>10831.658</v>
      </c>
      <c r="V32" s="892">
        <v>13222347</v>
      </c>
      <c r="W32" s="883">
        <f t="shared" si="7"/>
        <v>6.836</v>
      </c>
      <c r="X32" s="881">
        <f t="shared" si="8"/>
        <v>1.76</v>
      </c>
      <c r="Y32" s="916">
        <f t="shared" si="9"/>
        <v>0</v>
      </c>
      <c r="Z32" s="917">
        <f t="shared" si="10"/>
        <v>-13222347</v>
      </c>
      <c r="AA32" s="893" t="e">
        <f t="shared" si="11"/>
        <v>#DIV/0!</v>
      </c>
      <c r="AB32" s="872">
        <v>0</v>
      </c>
      <c r="AC32" s="873"/>
      <c r="AD32" s="107"/>
    </row>
    <row r="33" spans="1:30" ht="15">
      <c r="A33" s="854"/>
      <c r="B33" s="926"/>
      <c r="C33" s="874" t="s">
        <v>1187</v>
      </c>
      <c r="D33" s="931"/>
      <c r="E33" s="931"/>
      <c r="F33" s="901"/>
      <c r="G33" s="876">
        <f t="shared" si="1"/>
        <v>-28632736</v>
      </c>
      <c r="H33" s="909">
        <f t="shared" si="2"/>
        <v>1.83</v>
      </c>
      <c r="I33" s="876">
        <f t="shared" si="3"/>
        <v>1138802</v>
      </c>
      <c r="J33" s="875"/>
      <c r="K33" s="875"/>
      <c r="L33" s="887">
        <f>L31+L32</f>
        <v>4390670</v>
      </c>
      <c r="M33" s="876">
        <f>M31+M32</f>
        <v>47554659401.276</v>
      </c>
      <c r="N33" s="887"/>
      <c r="O33" s="887">
        <v>17218230</v>
      </c>
      <c r="P33" s="889">
        <v>984630</v>
      </c>
      <c r="Q33" s="887">
        <v>16268600</v>
      </c>
      <c r="R33" s="910">
        <f t="shared" si="4"/>
        <v>5.718532044234512</v>
      </c>
      <c r="S33" s="914">
        <f t="shared" si="5"/>
        <v>2761.88</v>
      </c>
      <c r="T33" s="929"/>
      <c r="U33" s="881">
        <f t="shared" si="6"/>
        <v>10830.843447873787</v>
      </c>
      <c r="V33" s="892">
        <v>30010688</v>
      </c>
      <c r="W33" s="883">
        <f t="shared" si="7"/>
        <v>6.835</v>
      </c>
      <c r="X33" s="881">
        <f t="shared" si="8"/>
        <v>1.76</v>
      </c>
      <c r="Y33" s="916">
        <f t="shared" si="9"/>
        <v>28632736</v>
      </c>
      <c r="Z33" s="917">
        <f t="shared" si="10"/>
        <v>-1377952</v>
      </c>
      <c r="AA33" s="893">
        <f t="shared" si="11"/>
        <v>71.20856079404467</v>
      </c>
      <c r="AB33" s="872">
        <v>31</v>
      </c>
      <c r="AC33" s="873">
        <v>52119114</v>
      </c>
      <c r="AD33" s="107">
        <v>23381598</v>
      </c>
    </row>
    <row r="34" spans="1:30" ht="15">
      <c r="A34" s="1121">
        <v>11</v>
      </c>
      <c r="B34" s="1122" t="s">
        <v>1191</v>
      </c>
      <c r="C34" s="874" t="s">
        <v>1189</v>
      </c>
      <c r="D34" s="875">
        <v>10834.249</v>
      </c>
      <c r="E34" s="875">
        <v>0</v>
      </c>
      <c r="F34" s="901"/>
      <c r="G34" s="876">
        <f t="shared" si="1"/>
        <v>0</v>
      </c>
      <c r="H34" s="909" t="e">
        <f t="shared" si="2"/>
        <v>#DIV/0!</v>
      </c>
      <c r="I34" s="876" t="e">
        <f t="shared" si="3"/>
        <v>#DIV/0!</v>
      </c>
      <c r="J34" s="875">
        <v>980656</v>
      </c>
      <c r="K34" s="875"/>
      <c r="L34" s="876">
        <f t="shared" si="15"/>
        <v>980656</v>
      </c>
      <c r="M34" s="902">
        <f t="shared" si="14"/>
        <v>10624671287.344</v>
      </c>
      <c r="N34" s="877"/>
      <c r="O34" s="873"/>
      <c r="P34" s="889"/>
      <c r="Q34" s="878"/>
      <c r="R34" s="910" t="e">
        <f t="shared" si="4"/>
        <v>#DIV/0!</v>
      </c>
      <c r="S34" s="914" t="e">
        <f t="shared" si="5"/>
        <v>#DIV/0!</v>
      </c>
      <c r="T34" s="1123"/>
      <c r="U34" s="881">
        <f t="shared" si="6"/>
        <v>10834.249</v>
      </c>
      <c r="V34" s="892">
        <v>6667984</v>
      </c>
      <c r="W34" s="883">
        <f t="shared" si="7"/>
        <v>6.8</v>
      </c>
      <c r="X34" s="881">
        <f t="shared" si="8"/>
        <v>1.75</v>
      </c>
      <c r="Y34" s="916">
        <f t="shared" si="9"/>
        <v>0</v>
      </c>
      <c r="Z34" s="917">
        <f t="shared" si="10"/>
        <v>-6667984</v>
      </c>
      <c r="AA34" s="893" t="e">
        <f t="shared" si="11"/>
        <v>#DIV/0!</v>
      </c>
      <c r="AB34" s="872">
        <v>0</v>
      </c>
      <c r="AC34" s="873"/>
      <c r="AD34" s="107"/>
    </row>
    <row r="35" spans="1:30" ht="15">
      <c r="A35" s="1121"/>
      <c r="B35" s="1122"/>
      <c r="C35" s="874" t="s">
        <v>1188</v>
      </c>
      <c r="D35" s="875">
        <v>10813.595</v>
      </c>
      <c r="E35" s="875">
        <v>0</v>
      </c>
      <c r="F35" s="901"/>
      <c r="G35" s="876">
        <f t="shared" si="1"/>
        <v>0</v>
      </c>
      <c r="H35" s="909" t="e">
        <f t="shared" si="2"/>
        <v>#DIV/0!</v>
      </c>
      <c r="I35" s="876" t="e">
        <f t="shared" si="3"/>
        <v>#DIV/0!</v>
      </c>
      <c r="J35" s="875">
        <v>2175287</v>
      </c>
      <c r="K35" s="875"/>
      <c r="L35" s="876">
        <f t="shared" si="15"/>
        <v>2175287</v>
      </c>
      <c r="M35" s="902">
        <f t="shared" si="14"/>
        <v>23522672626.765</v>
      </c>
      <c r="N35" s="877"/>
      <c r="O35" s="873"/>
      <c r="P35" s="889"/>
      <c r="Q35" s="878"/>
      <c r="R35" s="910" t="e">
        <f t="shared" si="4"/>
        <v>#DIV/0!</v>
      </c>
      <c r="S35" s="914" t="e">
        <f t="shared" si="5"/>
        <v>#DIV/0!</v>
      </c>
      <c r="T35" s="1123"/>
      <c r="U35" s="881">
        <f t="shared" si="6"/>
        <v>10813.595</v>
      </c>
      <c r="V35" s="892">
        <v>14762670</v>
      </c>
      <c r="W35" s="883">
        <f t="shared" si="7"/>
        <v>6.787</v>
      </c>
      <c r="X35" s="881">
        <f t="shared" si="8"/>
        <v>1.75</v>
      </c>
      <c r="Y35" s="916">
        <f t="shared" si="9"/>
        <v>0</v>
      </c>
      <c r="Z35" s="917">
        <f t="shared" si="10"/>
        <v>-14762670</v>
      </c>
      <c r="AA35" s="893" t="e">
        <f t="shared" si="11"/>
        <v>#DIV/0!</v>
      </c>
      <c r="AB35" s="872">
        <v>0</v>
      </c>
      <c r="AC35" s="873"/>
      <c r="AD35" s="107"/>
    </row>
    <row r="36" spans="1:30" ht="15">
      <c r="A36" s="854"/>
      <c r="B36" s="926"/>
      <c r="C36" s="874" t="s">
        <v>1187</v>
      </c>
      <c r="D36" s="875"/>
      <c r="E36" s="875"/>
      <c r="F36" s="901"/>
      <c r="G36" s="876">
        <f t="shared" si="1"/>
        <v>-19515650</v>
      </c>
      <c r="H36" s="909">
        <f t="shared" si="2"/>
        <v>1.91</v>
      </c>
      <c r="I36" s="876">
        <f t="shared" si="3"/>
        <v>1784288</v>
      </c>
      <c r="J36" s="875"/>
      <c r="K36" s="875"/>
      <c r="L36" s="887">
        <f>L34+L35</f>
        <v>3155943</v>
      </c>
      <c r="M36" s="876">
        <f>M34+M35</f>
        <v>34147343914.109</v>
      </c>
      <c r="N36" s="877"/>
      <c r="O36" s="873">
        <v>11792920</v>
      </c>
      <c r="P36" s="889">
        <v>666920</v>
      </c>
      <c r="Q36" s="932">
        <v>11151800</v>
      </c>
      <c r="R36" s="910">
        <f t="shared" si="4"/>
        <v>5.655257561316451</v>
      </c>
      <c r="S36" s="914">
        <f t="shared" si="5"/>
        <v>2895.58</v>
      </c>
      <c r="T36" s="933"/>
      <c r="U36" s="881">
        <f t="shared" si="6"/>
        <v>10820.012881762757</v>
      </c>
      <c r="V36" s="898">
        <v>21430654</v>
      </c>
      <c r="W36" s="883">
        <f t="shared" si="7"/>
        <v>6.791</v>
      </c>
      <c r="X36" s="881">
        <f t="shared" si="8"/>
        <v>1.75</v>
      </c>
      <c r="Y36" s="916">
        <f t="shared" si="9"/>
        <v>19515650</v>
      </c>
      <c r="Z36" s="917">
        <f t="shared" si="10"/>
        <v>-1915004</v>
      </c>
      <c r="AA36" s="893">
        <f t="shared" si="11"/>
        <v>53.99688644688645</v>
      </c>
      <c r="AB36" s="872">
        <v>28</v>
      </c>
      <c r="AC36" s="873">
        <v>37327547</v>
      </c>
      <c r="AD36" s="107">
        <v>17690667</v>
      </c>
    </row>
    <row r="37" spans="1:30" ht="15">
      <c r="A37" s="1121">
        <v>12</v>
      </c>
      <c r="B37" s="1122" t="s">
        <v>1190</v>
      </c>
      <c r="C37" s="874" t="s">
        <v>1189</v>
      </c>
      <c r="D37" s="875">
        <v>10829.991</v>
      </c>
      <c r="E37" s="875"/>
      <c r="F37" s="901"/>
      <c r="G37" s="876">
        <f t="shared" si="1"/>
        <v>0</v>
      </c>
      <c r="H37" s="909" t="e">
        <f t="shared" si="2"/>
        <v>#DIV/0!</v>
      </c>
      <c r="I37" s="876" t="e">
        <f t="shared" si="3"/>
        <v>#DIV/0!</v>
      </c>
      <c r="J37" s="875">
        <v>2576041</v>
      </c>
      <c r="K37" s="875"/>
      <c r="L37" s="876">
        <f t="shared" si="15"/>
        <v>2576041</v>
      </c>
      <c r="M37" s="902">
        <f t="shared" si="14"/>
        <v>27898500845.631</v>
      </c>
      <c r="N37" s="877"/>
      <c r="O37" s="873"/>
      <c r="P37" s="889"/>
      <c r="Q37" s="878"/>
      <c r="R37" s="910" t="e">
        <f t="shared" si="4"/>
        <v>#DIV/0!</v>
      </c>
      <c r="S37" s="914" t="e">
        <f t="shared" si="5"/>
        <v>#DIV/0!</v>
      </c>
      <c r="T37" s="852"/>
      <c r="U37" s="881">
        <f t="shared" si="6"/>
        <v>10829.991</v>
      </c>
      <c r="V37" s="892">
        <v>17437742</v>
      </c>
      <c r="W37" s="883">
        <f t="shared" si="7"/>
        <v>6.769</v>
      </c>
      <c r="X37" s="881">
        <f t="shared" si="8"/>
        <v>1.74</v>
      </c>
      <c r="Y37" s="916">
        <f t="shared" si="9"/>
        <v>0</v>
      </c>
      <c r="Z37" s="917">
        <f t="shared" si="10"/>
        <v>-17437742</v>
      </c>
      <c r="AA37" s="893" t="e">
        <f t="shared" si="11"/>
        <v>#DIV/0!</v>
      </c>
      <c r="AB37" s="872">
        <v>0</v>
      </c>
      <c r="AC37" s="873"/>
      <c r="AD37" s="107"/>
    </row>
    <row r="38" spans="1:30" ht="15">
      <c r="A38" s="1110"/>
      <c r="B38" s="1113"/>
      <c r="C38" s="934" t="s">
        <v>1188</v>
      </c>
      <c r="D38" s="935">
        <v>10855.564</v>
      </c>
      <c r="E38" s="935"/>
      <c r="F38" s="901"/>
      <c r="G38" s="876">
        <f t="shared" si="1"/>
        <v>0</v>
      </c>
      <c r="H38" s="909" t="e">
        <f t="shared" si="2"/>
        <v>#DIV/0!</v>
      </c>
      <c r="I38" s="876" t="e">
        <f t="shared" si="3"/>
        <v>#DIV/0!</v>
      </c>
      <c r="J38" s="935">
        <v>2748484</v>
      </c>
      <c r="K38" s="935"/>
      <c r="L38" s="876">
        <f t="shared" si="15"/>
        <v>2748484</v>
      </c>
      <c r="M38" s="902">
        <f t="shared" si="14"/>
        <v>29836343964.976</v>
      </c>
      <c r="N38" s="936"/>
      <c r="O38" s="873"/>
      <c r="P38" s="889"/>
      <c r="Q38" s="878"/>
      <c r="R38" s="910" t="e">
        <f t="shared" si="4"/>
        <v>#DIV/0!</v>
      </c>
      <c r="S38" s="914" t="e">
        <f t="shared" si="5"/>
        <v>#DIV/0!</v>
      </c>
      <c r="T38" s="852"/>
      <c r="U38" s="881">
        <f t="shared" si="6"/>
        <v>10855.564</v>
      </c>
      <c r="V38" s="892">
        <v>18653676</v>
      </c>
      <c r="W38" s="883">
        <f t="shared" si="7"/>
        <v>6.787</v>
      </c>
      <c r="X38" s="881">
        <f t="shared" si="8"/>
        <v>1.74</v>
      </c>
      <c r="Y38" s="916">
        <f t="shared" si="9"/>
        <v>0</v>
      </c>
      <c r="Z38" s="917">
        <f t="shared" si="10"/>
        <v>-18653676</v>
      </c>
      <c r="AA38" s="893" t="e">
        <f t="shared" si="11"/>
        <v>#DIV/0!</v>
      </c>
      <c r="AB38" s="872">
        <v>0</v>
      </c>
      <c r="AC38" s="873"/>
      <c r="AD38" s="107"/>
    </row>
    <row r="39" spans="1:30" ht="15">
      <c r="A39" s="854"/>
      <c r="B39" s="926"/>
      <c r="C39" s="874" t="s">
        <v>1187</v>
      </c>
      <c r="D39" s="875"/>
      <c r="E39" s="875"/>
      <c r="F39" s="901"/>
      <c r="G39" s="876">
        <f t="shared" si="1"/>
        <v>-35474772</v>
      </c>
      <c r="H39" s="909">
        <f t="shared" si="2"/>
        <v>1.76</v>
      </c>
      <c r="I39" s="876">
        <f t="shared" si="3"/>
        <v>407756</v>
      </c>
      <c r="J39" s="875"/>
      <c r="K39" s="875"/>
      <c r="L39" s="887">
        <f>L37+L38</f>
        <v>5324525</v>
      </c>
      <c r="M39" s="876">
        <f>M37+M38</f>
        <v>57734844810.607</v>
      </c>
      <c r="N39" s="877"/>
      <c r="O39" s="873">
        <v>21560700</v>
      </c>
      <c r="P39" s="889">
        <v>1172900</v>
      </c>
      <c r="Q39" s="873">
        <v>20387800</v>
      </c>
      <c r="R39" s="910">
        <f t="shared" si="4"/>
        <v>5.439990352817858</v>
      </c>
      <c r="S39" s="914">
        <f t="shared" si="5"/>
        <v>2677.78</v>
      </c>
      <c r="T39" s="870"/>
      <c r="U39" s="881">
        <f t="shared" si="6"/>
        <v>10843.19161063325</v>
      </c>
      <c r="V39" s="898">
        <f>V37+V38</f>
        <v>36091418</v>
      </c>
      <c r="W39" s="883">
        <f t="shared" si="7"/>
        <v>6.778</v>
      </c>
      <c r="X39" s="881">
        <f t="shared" si="8"/>
        <v>1.74</v>
      </c>
      <c r="Y39" s="916">
        <f t="shared" si="9"/>
        <v>35474772</v>
      </c>
      <c r="Z39" s="917">
        <f t="shared" si="10"/>
        <v>-616646</v>
      </c>
      <c r="AA39" s="893">
        <f t="shared" si="11"/>
        <v>89.16749379652606</v>
      </c>
      <c r="AB39" s="873">
        <v>31</v>
      </c>
      <c r="AC39" s="873">
        <v>64557587</v>
      </c>
      <c r="AD39" s="107">
        <v>28916435</v>
      </c>
    </row>
    <row r="40" spans="1:30" ht="15">
      <c r="A40" s="937"/>
      <c r="B40" s="938"/>
      <c r="C40" s="939"/>
      <c r="D40" s="940"/>
      <c r="E40" s="940"/>
      <c r="F40" s="940"/>
      <c r="G40" s="940"/>
      <c r="H40" s="941"/>
      <c r="I40" s="940"/>
      <c r="J40" s="940"/>
      <c r="K40" s="940"/>
      <c r="L40" s="940"/>
      <c r="M40" s="942"/>
      <c r="N40" s="942"/>
      <c r="O40" s="933"/>
      <c r="P40" s="933"/>
      <c r="Q40" s="943"/>
      <c r="R40" s="852"/>
      <c r="S40" s="852"/>
      <c r="T40" s="852"/>
      <c r="U40" s="852"/>
      <c r="V40" s="852"/>
      <c r="W40" s="852"/>
      <c r="X40" s="944"/>
      <c r="Y40" s="945"/>
      <c r="Z40" s="946">
        <f>SUM(Z6,Z9,Z12,Z15,Z18,Z21,Z24,Z27,Z30,Z33,Z36,Z39)</f>
        <v>-25148395</v>
      </c>
      <c r="AA40" s="945"/>
      <c r="AB40" s="945">
        <f>SUM(AB5:AB39)</f>
        <v>365</v>
      </c>
      <c r="AC40" s="945">
        <f>SUM(AC6:AC39)</f>
        <v>808489608</v>
      </c>
      <c r="AD40" s="107">
        <f>SUM(AD4:AD39)</f>
        <v>311277687</v>
      </c>
    </row>
    <row r="41" spans="1:30" ht="15">
      <c r="A41" s="937"/>
      <c r="B41" s="938"/>
      <c r="C41" s="852"/>
      <c r="D41" s="852"/>
      <c r="E41" s="852"/>
      <c r="F41" s="852"/>
      <c r="G41" s="852">
        <f>SUM(G6,G9,G12,G15,G18,G21,G24,G27,G30,G33,G36,G39)</f>
        <v>-81972084</v>
      </c>
      <c r="H41" s="852"/>
      <c r="I41" s="852">
        <f>SUM(I6,I9,I12,I15,I18,I21,I24,I27,I30,I33,I36,I39)</f>
        <v>23267354.000000007</v>
      </c>
      <c r="J41" s="852"/>
      <c r="K41" s="852"/>
      <c r="L41" s="852"/>
      <c r="M41" s="852"/>
      <c r="N41" s="852"/>
      <c r="O41" s="947">
        <f>SUM(O6,O9,O12,O15,O18,O21,O24,O27,O30,O33,O36,O39)</f>
        <v>230446870</v>
      </c>
      <c r="P41" s="947">
        <f>SUM(P6,P9,P12,P15,P18,P21,P24,P27,P30,P33,P36,P39)</f>
        <v>12781670</v>
      </c>
      <c r="Q41" s="947">
        <f>SUM(Q6,Q9,Q12,Q15,Q18,Q21,Q24,Q27,Q30,Q33,Q36,Q39)</f>
        <v>218024200</v>
      </c>
      <c r="R41" s="948">
        <f>(P41/O41)*100</f>
        <v>5.546471514236666</v>
      </c>
      <c r="S41" s="852"/>
      <c r="T41" s="852"/>
      <c r="U41" s="852"/>
      <c r="V41" s="852">
        <f>SUM(V6,V9,V12,V15,V18,V21,V24,V27,V30,V33,V36,V39)</f>
        <v>468552851</v>
      </c>
      <c r="W41" s="852"/>
      <c r="X41" s="852"/>
      <c r="Y41" s="945">
        <f>SUM(Y6,Y9,Y12,Y15,Y18,Y21,Y24,Y27,Y30,Y33,Y36,Y39)</f>
        <v>443404456</v>
      </c>
      <c r="Z41" s="949">
        <f>Z40/10000000</f>
        <v>-2.5148395</v>
      </c>
      <c r="AA41" s="945"/>
      <c r="AB41" s="945"/>
      <c r="AC41" s="946">
        <f>AC40/10000000</f>
        <v>80.8489608</v>
      </c>
      <c r="AD41" s="690">
        <f>AD40/10000000</f>
        <v>31.1277687</v>
      </c>
    </row>
    <row r="42" spans="1:29" ht="15">
      <c r="A42" s="852"/>
      <c r="B42" s="852"/>
      <c r="C42" s="950">
        <f>M21/L21</f>
        <v>10808.104057351882</v>
      </c>
      <c r="D42" s="852"/>
      <c r="E42" s="852"/>
      <c r="F42" s="852"/>
      <c r="G42" s="948">
        <f>G41/10000000</f>
        <v>-8.1972084</v>
      </c>
      <c r="H42" s="852"/>
      <c r="I42" s="948">
        <f>I41/10000000</f>
        <v>2.326735400000001</v>
      </c>
      <c r="J42" s="852"/>
      <c r="K42" s="852"/>
      <c r="L42" s="947">
        <f>SUM(L6,L9,L12,L15,L18,L21,L24,L27,L30,L33,L36,L39)</f>
        <v>59197127</v>
      </c>
      <c r="M42" s="947">
        <f>SUM(M6,M9,M12,M15,M18,M21,M24,M27,M30,M33,M36,M39)</f>
        <v>640805589608.1641</v>
      </c>
      <c r="N42" s="852"/>
      <c r="O42" s="946">
        <f>O41/1000000</f>
        <v>230.44687</v>
      </c>
      <c r="P42" s="946">
        <f>P41/1000000</f>
        <v>12.78167</v>
      </c>
      <c r="Q42" s="946">
        <f>Q41/1000000</f>
        <v>218.0242</v>
      </c>
      <c r="R42" s="852"/>
      <c r="S42" s="852"/>
      <c r="T42" s="852"/>
      <c r="U42" s="852"/>
      <c r="V42" s="946">
        <f>V41/10000000</f>
        <v>46.8552851</v>
      </c>
      <c r="W42" s="852"/>
      <c r="X42" s="852"/>
      <c r="Y42" s="946">
        <f>Y41/10000000</f>
        <v>44.3404456</v>
      </c>
      <c r="Z42" s="945"/>
      <c r="AA42" s="945"/>
      <c r="AB42" s="945"/>
      <c r="AC42" s="945"/>
    </row>
    <row r="43" spans="1:29" ht="15">
      <c r="A43" s="852"/>
      <c r="B43" s="852"/>
      <c r="C43" s="852"/>
      <c r="D43" s="852"/>
      <c r="E43" s="852"/>
      <c r="F43" s="852"/>
      <c r="G43" s="852"/>
      <c r="H43" s="852"/>
      <c r="I43" s="852"/>
      <c r="J43" s="852"/>
      <c r="K43" s="852"/>
      <c r="L43" s="852"/>
      <c r="M43" s="852"/>
      <c r="N43" s="852"/>
      <c r="O43" s="852"/>
      <c r="P43" s="948">
        <f>P41*100/O41</f>
        <v>5.546471514236665</v>
      </c>
      <c r="Q43" s="852"/>
      <c r="R43" s="852"/>
      <c r="S43" s="852"/>
      <c r="T43" s="852"/>
      <c r="U43" s="852"/>
      <c r="V43" s="852"/>
      <c r="W43" s="852"/>
      <c r="X43" s="852"/>
      <c r="Y43" s="852"/>
      <c r="Z43" s="852"/>
      <c r="AA43" s="852"/>
      <c r="AB43" s="852"/>
      <c r="AC43" s="852"/>
    </row>
    <row r="44" spans="1:29" ht="15">
      <c r="A44" s="1124" t="s">
        <v>1186</v>
      </c>
      <c r="B44" s="1124"/>
      <c r="C44" s="1124"/>
      <c r="D44" s="1124"/>
      <c r="E44" s="1124"/>
      <c r="F44" s="1124"/>
      <c r="G44" s="1124"/>
      <c r="H44" s="1124"/>
      <c r="I44" s="1124"/>
      <c r="J44" s="1124"/>
      <c r="K44" s="852" t="s">
        <v>1185</v>
      </c>
      <c r="L44" s="852"/>
      <c r="M44" s="951">
        <f>M42/L42</f>
        <v>10824.944082305954</v>
      </c>
      <c r="N44" s="852"/>
      <c r="O44" s="852" t="s">
        <v>1184</v>
      </c>
      <c r="P44" s="852"/>
      <c r="Q44" s="852"/>
      <c r="R44" s="852"/>
      <c r="S44" s="852"/>
      <c r="T44" s="852"/>
      <c r="U44" s="852" t="s">
        <v>1183</v>
      </c>
      <c r="V44" s="948">
        <f>(O41*100)/(780000*AB40)</f>
        <v>80.94375482964524</v>
      </c>
      <c r="W44" s="852"/>
      <c r="X44" s="852"/>
      <c r="Y44" s="852"/>
      <c r="Z44" s="945">
        <f>Q15*X15</f>
        <v>42069720</v>
      </c>
      <c r="AA44" s="852"/>
      <c r="AB44" s="852"/>
      <c r="AC44" s="852"/>
    </row>
    <row r="45" spans="1:29" ht="15">
      <c r="A45" s="852"/>
      <c r="B45" s="852"/>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f>19928367.8*2.87</f>
        <v>57194415.586</v>
      </c>
      <c r="AA45" s="852"/>
      <c r="AB45" s="852"/>
      <c r="AC45" s="852"/>
    </row>
    <row r="46" spans="1:29" ht="15">
      <c r="A46" s="1124" t="s">
        <v>1182</v>
      </c>
      <c r="B46" s="1124"/>
      <c r="C46" s="1124"/>
      <c r="D46" s="1124"/>
      <c r="E46" s="944">
        <f>ROUND((L42*M44)/O41,2)</f>
        <v>2780.71</v>
      </c>
      <c r="F46" s="944"/>
      <c r="G46" s="951">
        <f>(L42*M44)/O41</f>
        <v>2780.7085841876005</v>
      </c>
      <c r="H46" s="852"/>
      <c r="I46" s="852"/>
      <c r="J46" s="852" t="s">
        <v>1181</v>
      </c>
      <c r="K46" s="852"/>
      <c r="L46" s="852"/>
      <c r="M46" s="852"/>
      <c r="N46" s="852"/>
      <c r="O46" s="852"/>
      <c r="P46" s="852"/>
      <c r="Q46" s="852"/>
      <c r="R46" s="852"/>
      <c r="S46" s="852"/>
      <c r="T46" s="852"/>
      <c r="U46" s="852"/>
      <c r="V46" s="852"/>
      <c r="W46" s="852"/>
      <c r="X46" s="852"/>
      <c r="Y46" s="852"/>
      <c r="Z46" s="852"/>
      <c r="AA46" s="852"/>
      <c r="AB46" s="852"/>
      <c r="AC46" s="852"/>
    </row>
    <row r="47" spans="1:29" ht="15">
      <c r="A47" s="852"/>
      <c r="B47" s="852"/>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row>
    <row r="48" spans="1:29" ht="15">
      <c r="A48" s="852" t="s">
        <v>1180</v>
      </c>
      <c r="B48" s="852"/>
      <c r="C48" s="852"/>
      <c r="D48" s="852"/>
      <c r="E48" s="852"/>
      <c r="F48" s="852"/>
      <c r="G48" s="852"/>
      <c r="H48" s="852"/>
      <c r="I48" s="852" t="s">
        <v>1179</v>
      </c>
      <c r="J48" s="852"/>
      <c r="K48" s="852" t="s">
        <v>1178</v>
      </c>
      <c r="L48" s="946">
        <f>(2646*C50*100)/(M44*(100-5))</f>
        <v>2.03656618259969</v>
      </c>
      <c r="M48" s="852"/>
      <c r="N48" s="852"/>
      <c r="O48" s="950" t="s">
        <v>1894</v>
      </c>
      <c r="P48" s="950" t="s">
        <v>1895</v>
      </c>
      <c r="Q48" s="948">
        <f>L48+O50</f>
        <v>3.4642869906567775</v>
      </c>
      <c r="R48" s="852"/>
      <c r="S48" s="852"/>
      <c r="T48" s="852"/>
      <c r="U48" s="852"/>
      <c r="V48" s="852"/>
      <c r="W48" s="852"/>
      <c r="X48" s="852"/>
      <c r="Y48" s="852"/>
      <c r="Z48" s="852"/>
      <c r="AA48" s="852"/>
      <c r="AB48" s="852"/>
      <c r="AC48" s="852"/>
    </row>
    <row r="49" spans="1:29" ht="15">
      <c r="A49" s="852"/>
      <c r="B49" s="852"/>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row>
    <row r="50" spans="1:29" ht="15">
      <c r="A50" s="852"/>
      <c r="B50" s="852" t="s">
        <v>1177</v>
      </c>
      <c r="C50" s="952">
        <f>V41/L42</f>
        <v>7.915128229111525</v>
      </c>
      <c r="D50" s="946">
        <f>V41*1000/L42</f>
        <v>7915.128229111524</v>
      </c>
      <c r="E50" s="852"/>
      <c r="F50" s="852"/>
      <c r="G50" s="852"/>
      <c r="H50" s="852"/>
      <c r="I50" s="950" t="s">
        <v>1896</v>
      </c>
      <c r="J50" s="852"/>
      <c r="K50" s="852"/>
      <c r="L50" s="852"/>
      <c r="M50" s="950" t="s">
        <v>1897</v>
      </c>
      <c r="N50" s="852"/>
      <c r="O50" s="952">
        <f>AD40/Q41</f>
        <v>1.4277208080570873</v>
      </c>
      <c r="P50" s="852"/>
      <c r="Q50" s="852"/>
      <c r="R50" s="852"/>
      <c r="S50" s="852"/>
      <c r="T50" s="852"/>
      <c r="U50" s="852"/>
      <c r="V50" s="852"/>
      <c r="W50" s="852"/>
      <c r="X50" s="852"/>
      <c r="Y50" s="852"/>
      <c r="Z50" s="852"/>
      <c r="AA50" s="852"/>
      <c r="AB50" s="852"/>
      <c r="AC50" s="852"/>
    </row>
    <row r="51" spans="1:29" ht="15">
      <c r="A51" s="852"/>
      <c r="B51" s="852"/>
      <c r="C51" s="953"/>
      <c r="D51" s="852"/>
      <c r="E51" s="852"/>
      <c r="F51" s="852"/>
      <c r="G51" s="954"/>
      <c r="H51" s="955"/>
      <c r="I51" s="869"/>
      <c r="J51" s="852"/>
      <c r="K51" s="852"/>
      <c r="L51" s="852"/>
      <c r="M51" s="852"/>
      <c r="N51" s="852"/>
      <c r="O51" s="852"/>
      <c r="P51" s="852"/>
      <c r="Q51" s="852"/>
      <c r="R51" s="852"/>
      <c r="S51" s="852"/>
      <c r="T51" s="852"/>
      <c r="U51" s="852"/>
      <c r="V51" s="852"/>
      <c r="W51" s="852"/>
      <c r="X51" s="852"/>
      <c r="Y51" s="852"/>
      <c r="Z51" s="852"/>
      <c r="AA51" s="852"/>
      <c r="AB51" s="852"/>
      <c r="AC51" s="852"/>
    </row>
  </sheetData>
  <sheetProtection/>
  <mergeCells count="38">
    <mergeCell ref="A46:D46"/>
    <mergeCell ref="A34:A35"/>
    <mergeCell ref="B34:B35"/>
    <mergeCell ref="T34:T35"/>
    <mergeCell ref="A37:A38"/>
    <mergeCell ref="B37:B38"/>
    <mergeCell ref="A44:J44"/>
    <mergeCell ref="B26:B27"/>
    <mergeCell ref="A28:A29"/>
    <mergeCell ref="B28:B29"/>
    <mergeCell ref="T28:T29"/>
    <mergeCell ref="A31:A32"/>
    <mergeCell ref="B31:B32"/>
    <mergeCell ref="T31:T32"/>
    <mergeCell ref="A19:A20"/>
    <mergeCell ref="B19:B20"/>
    <mergeCell ref="T19:T20"/>
    <mergeCell ref="A23:A24"/>
    <mergeCell ref="B23:B24"/>
    <mergeCell ref="T23:T24"/>
    <mergeCell ref="A13:A14"/>
    <mergeCell ref="B13:B14"/>
    <mergeCell ref="T13:T14"/>
    <mergeCell ref="A16:A17"/>
    <mergeCell ref="B16:B17"/>
    <mergeCell ref="T16:T17"/>
    <mergeCell ref="A7:A8"/>
    <mergeCell ref="B7:B8"/>
    <mergeCell ref="T7:T8"/>
    <mergeCell ref="A10:A11"/>
    <mergeCell ref="B10:B11"/>
    <mergeCell ref="T10:T11"/>
    <mergeCell ref="A1:Z1"/>
    <mergeCell ref="D2:G2"/>
    <mergeCell ref="H2:I2"/>
    <mergeCell ref="J2:L2"/>
    <mergeCell ref="A4:A6"/>
    <mergeCell ref="B4:B6"/>
  </mergeCells>
  <printOptions horizontalCentered="1" verticalCentered="1"/>
  <pageMargins left="0.16" right="0.16" top="0.27" bottom="0.2" header="0.3" footer="0.15"/>
  <pageSetup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dimension ref="A1:AC51"/>
  <sheetViews>
    <sheetView zoomScalePageLayoutView="0" workbookViewId="0" topLeftCell="A1">
      <selection activeCell="M45" sqref="M45"/>
    </sheetView>
  </sheetViews>
  <sheetFormatPr defaultColWidth="9.33203125" defaultRowHeight="12.75"/>
  <cols>
    <col min="1" max="2" width="9.33203125" style="90" customWidth="1"/>
    <col min="3" max="3" width="12.33203125" style="90" customWidth="1"/>
    <col min="4" max="4" width="12.66015625" style="90" customWidth="1"/>
    <col min="5" max="5" width="13" style="90" customWidth="1"/>
    <col min="6" max="12" width="9.33203125" style="90" customWidth="1"/>
    <col min="13" max="13" width="15.66015625" style="90" customWidth="1"/>
    <col min="14" max="14" width="13.83203125" style="90" customWidth="1"/>
    <col min="15" max="15" width="11.83203125" style="90" customWidth="1"/>
    <col min="16" max="16" width="9.33203125" style="90" customWidth="1"/>
    <col min="17" max="17" width="15.5" style="90" customWidth="1"/>
    <col min="18" max="24" width="9.33203125" style="90" customWidth="1"/>
    <col min="25" max="25" width="14" style="90" customWidth="1"/>
    <col min="26" max="26" width="15.33203125" style="90" customWidth="1"/>
    <col min="27" max="28" width="9.33203125" style="90" customWidth="1"/>
    <col min="29" max="29" width="13.66015625" style="90" customWidth="1"/>
    <col min="30" max="16384" width="9.33203125" style="90" customWidth="1"/>
  </cols>
  <sheetData>
    <row r="1" spans="1:29" ht="21">
      <c r="A1" s="1283" t="s">
        <v>1762</v>
      </c>
      <c r="B1" s="1283"/>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711"/>
      <c r="AB1" s="711"/>
      <c r="AC1" s="711"/>
    </row>
    <row r="2" spans="1:29" ht="75">
      <c r="A2" s="712" t="s">
        <v>1230</v>
      </c>
      <c r="B2" s="713" t="s">
        <v>1229</v>
      </c>
      <c r="C2" s="714"/>
      <c r="D2" s="1284" t="s">
        <v>1228</v>
      </c>
      <c r="E2" s="1285"/>
      <c r="F2" s="1285"/>
      <c r="G2" s="1286"/>
      <c r="H2" s="1284" t="s">
        <v>1879</v>
      </c>
      <c r="I2" s="1286"/>
      <c r="J2" s="1287" t="s">
        <v>1227</v>
      </c>
      <c r="K2" s="1288"/>
      <c r="L2" s="1289"/>
      <c r="M2" s="715" t="s">
        <v>1226</v>
      </c>
      <c r="N2" s="715" t="s">
        <v>1225</v>
      </c>
      <c r="O2" s="716" t="s">
        <v>1224</v>
      </c>
      <c r="P2" s="716" t="s">
        <v>1223</v>
      </c>
      <c r="Q2" s="717" t="s">
        <v>1222</v>
      </c>
      <c r="R2" s="718" t="s">
        <v>1221</v>
      </c>
      <c r="S2" s="718" t="s">
        <v>1220</v>
      </c>
      <c r="T2" s="719" t="s">
        <v>1219</v>
      </c>
      <c r="U2" s="720" t="s">
        <v>1218</v>
      </c>
      <c r="V2" s="720" t="s">
        <v>1217</v>
      </c>
      <c r="W2" s="721" t="s">
        <v>1216</v>
      </c>
      <c r="X2" s="721" t="s">
        <v>1215</v>
      </c>
      <c r="Y2" s="721" t="s">
        <v>1214</v>
      </c>
      <c r="Z2" s="720" t="s">
        <v>1213</v>
      </c>
      <c r="AA2" s="721" t="s">
        <v>1212</v>
      </c>
      <c r="AB2" s="721" t="s">
        <v>1211</v>
      </c>
      <c r="AC2" s="829" t="s">
        <v>1763</v>
      </c>
    </row>
    <row r="3" spans="1:29" ht="15">
      <c r="A3" s="723"/>
      <c r="B3" s="723"/>
      <c r="C3" s="723"/>
      <c r="D3" s="724" t="s">
        <v>1203</v>
      </c>
      <c r="E3" s="724" t="s">
        <v>1208</v>
      </c>
      <c r="F3" s="724" t="s">
        <v>1880</v>
      </c>
      <c r="G3" s="724" t="s">
        <v>1202</v>
      </c>
      <c r="H3" s="724" t="s">
        <v>1203</v>
      </c>
      <c r="I3" s="724" t="s">
        <v>1202</v>
      </c>
      <c r="J3" s="724" t="s">
        <v>1203</v>
      </c>
      <c r="K3" s="724" t="s">
        <v>1202</v>
      </c>
      <c r="L3" s="724"/>
      <c r="M3" s="720"/>
      <c r="N3" s="720"/>
      <c r="O3" s="726"/>
      <c r="P3" s="727"/>
      <c r="Q3" s="728"/>
      <c r="R3" s="728"/>
      <c r="S3" s="728"/>
      <c r="T3" s="729"/>
      <c r="U3" s="730"/>
      <c r="V3" s="730"/>
      <c r="W3" s="730"/>
      <c r="X3" s="728"/>
      <c r="Y3" s="728"/>
      <c r="Z3" s="728"/>
      <c r="AA3" s="728"/>
      <c r="AB3" s="728"/>
      <c r="AC3" s="728"/>
    </row>
    <row r="4" spans="1:29" ht="15">
      <c r="A4" s="1275">
        <v>1</v>
      </c>
      <c r="B4" s="1276" t="s">
        <v>1881</v>
      </c>
      <c r="C4" s="732" t="s">
        <v>1189</v>
      </c>
      <c r="D4" s="733">
        <v>10180.5</v>
      </c>
      <c r="E4" s="733"/>
      <c r="F4" s="733"/>
      <c r="G4" s="734"/>
      <c r="H4" s="733">
        <v>9048.991</v>
      </c>
      <c r="I4" s="734">
        <v>9043.078</v>
      </c>
      <c r="J4" s="733">
        <v>2581801</v>
      </c>
      <c r="K4" s="734"/>
      <c r="L4" s="734">
        <f>SUM(J4:K4)</f>
        <v>2581801</v>
      </c>
      <c r="M4" s="735">
        <f>D4*J4+E4*K4</f>
        <v>26284025080.5</v>
      </c>
      <c r="N4" s="735">
        <f>H4*J4+I4*K4</f>
        <v>23362694012.791</v>
      </c>
      <c r="O4" s="736"/>
      <c r="P4" s="736"/>
      <c r="Q4" s="736">
        <f aca="true" t="shared" si="0" ref="Q4:Q18">O4-P4</f>
        <v>0</v>
      </c>
      <c r="R4" s="737"/>
      <c r="S4" s="750"/>
      <c r="T4" s="738"/>
      <c r="U4" s="739">
        <f>M4/L4</f>
        <v>10180.5</v>
      </c>
      <c r="V4" s="740">
        <v>27589260</v>
      </c>
      <c r="W4" s="741">
        <f>ROUND(V4/L4,3)</f>
        <v>10.686</v>
      </c>
      <c r="X4" s="739">
        <f>ROUND((2646*W4*100)/(U4*95),2)</f>
        <v>2.92</v>
      </c>
      <c r="Y4" s="742">
        <f>X4*Q4</f>
        <v>0</v>
      </c>
      <c r="Z4" s="743">
        <f aca="true" t="shared" si="1" ref="Z4:Z33">Y4-V4</f>
        <v>-27589260</v>
      </c>
      <c r="AA4" s="728"/>
      <c r="AB4" s="728"/>
      <c r="AC4" s="728"/>
    </row>
    <row r="5" spans="1:29" ht="15">
      <c r="A5" s="1290"/>
      <c r="B5" s="1291"/>
      <c r="C5" s="732" t="s">
        <v>1188</v>
      </c>
      <c r="D5" s="733">
        <v>10065.2</v>
      </c>
      <c r="E5" s="733">
        <v>10062.8</v>
      </c>
      <c r="F5" s="733"/>
      <c r="G5" s="733"/>
      <c r="H5" s="830"/>
      <c r="I5" s="733"/>
      <c r="J5" s="733">
        <v>1703382</v>
      </c>
      <c r="K5" s="734">
        <v>327</v>
      </c>
      <c r="L5" s="734">
        <f>SUM(J5:K5)</f>
        <v>1703709</v>
      </c>
      <c r="M5" s="735">
        <f>D5*J5+E5*K5</f>
        <v>17148171042.000002</v>
      </c>
      <c r="N5" s="735">
        <f>H5*L5</f>
        <v>0</v>
      </c>
      <c r="O5" s="744"/>
      <c r="P5" s="744"/>
      <c r="Q5" s="736">
        <f t="shared" si="0"/>
        <v>0</v>
      </c>
      <c r="R5" s="737"/>
      <c r="S5" s="750"/>
      <c r="T5" s="745"/>
      <c r="U5" s="739">
        <f>M5/L5</f>
        <v>10065.199539357955</v>
      </c>
      <c r="V5" s="730">
        <v>18148629</v>
      </c>
      <c r="W5" s="741">
        <f>ROUND(V5/L5,3)</f>
        <v>10.652</v>
      </c>
      <c r="X5" s="739">
        <f>ROUND((2646*W5*100)/(U5*95),2)</f>
        <v>2.95</v>
      </c>
      <c r="Y5" s="742">
        <f>X5*Q5</f>
        <v>0</v>
      </c>
      <c r="Z5" s="743">
        <f t="shared" si="1"/>
        <v>-18148629</v>
      </c>
      <c r="AA5" s="728"/>
      <c r="AB5" s="728"/>
      <c r="AC5" s="728"/>
    </row>
    <row r="6" spans="1:29" ht="15">
      <c r="A6" s="1278"/>
      <c r="B6" s="1277"/>
      <c r="C6" s="732" t="s">
        <v>1187</v>
      </c>
      <c r="D6" s="733"/>
      <c r="E6" s="733"/>
      <c r="F6" s="733"/>
      <c r="G6" s="733"/>
      <c r="H6" s="830"/>
      <c r="I6" s="733"/>
      <c r="J6" s="733"/>
      <c r="K6" s="734"/>
      <c r="L6" s="746">
        <f>SUM(L4:L5)</f>
        <v>4285510</v>
      </c>
      <c r="M6" s="747">
        <f>SUM(M4:M5)</f>
        <v>43432196122.5</v>
      </c>
      <c r="N6" s="735"/>
      <c r="O6" s="748">
        <v>15694200</v>
      </c>
      <c r="P6" s="748">
        <v>1034906.2</v>
      </c>
      <c r="Q6" s="749">
        <f t="shared" si="0"/>
        <v>14659293.8</v>
      </c>
      <c r="R6" s="737">
        <f>ROUND((P6/O6)*100,2)</f>
        <v>6.59</v>
      </c>
      <c r="S6" s="750">
        <f>ROUND((M6)/O6,2)</f>
        <v>2767.4</v>
      </c>
      <c r="T6" s="751"/>
      <c r="U6" s="782">
        <f>M6/L6</f>
        <v>10134.662180813952</v>
      </c>
      <c r="V6" s="752">
        <f>SUM(V4:V5)</f>
        <v>45737889</v>
      </c>
      <c r="W6" s="741">
        <f>ROUND(V6/L6,3)</f>
        <v>10.673</v>
      </c>
      <c r="X6" s="739">
        <f>ROUND((2646*W6*100)/(U6*95),2)</f>
        <v>2.93</v>
      </c>
      <c r="Y6" s="740">
        <f>X6*Q6</f>
        <v>42951730.83400001</v>
      </c>
      <c r="Z6" s="752">
        <f t="shared" si="1"/>
        <v>-2786158.1659999937</v>
      </c>
      <c r="AA6" s="831">
        <f>O6*100/(780000*30)</f>
        <v>67.06923076923077</v>
      </c>
      <c r="AB6" s="728">
        <v>30</v>
      </c>
      <c r="AC6" s="731">
        <v>58325539</v>
      </c>
    </row>
    <row r="7" spans="1:29" ht="15">
      <c r="A7" s="1275">
        <v>2</v>
      </c>
      <c r="B7" s="1279" t="s">
        <v>1882</v>
      </c>
      <c r="C7" s="732" t="s">
        <v>1189</v>
      </c>
      <c r="D7" s="733">
        <v>0</v>
      </c>
      <c r="E7" s="733">
        <v>0</v>
      </c>
      <c r="F7" s="733"/>
      <c r="G7" s="733"/>
      <c r="H7" s="733">
        <v>2729696</v>
      </c>
      <c r="I7" s="733"/>
      <c r="J7" s="733">
        <v>0</v>
      </c>
      <c r="K7" s="735">
        <v>0</v>
      </c>
      <c r="L7" s="832">
        <f>SUM(J7:K7)</f>
        <v>0</v>
      </c>
      <c r="M7" s="735">
        <f>D7*J7+G7*K7</f>
        <v>0</v>
      </c>
      <c r="N7" s="735">
        <f>H7*L7</f>
        <v>0</v>
      </c>
      <c r="O7" s="736"/>
      <c r="P7" s="736"/>
      <c r="Q7" s="736">
        <f t="shared" si="0"/>
        <v>0</v>
      </c>
      <c r="R7" s="737"/>
      <c r="S7" s="750"/>
      <c r="T7" s="1281"/>
      <c r="U7" s="739">
        <v>0</v>
      </c>
      <c r="V7" s="730">
        <v>0</v>
      </c>
      <c r="W7" s="741"/>
      <c r="X7" s="739">
        <v>0</v>
      </c>
      <c r="Y7" s="742">
        <v>0</v>
      </c>
      <c r="Z7" s="742">
        <f t="shared" si="1"/>
        <v>0</v>
      </c>
      <c r="AA7" s="831"/>
      <c r="AB7" s="728"/>
      <c r="AC7" s="731"/>
    </row>
    <row r="8" spans="1:29" ht="15">
      <c r="A8" s="1278"/>
      <c r="B8" s="1280"/>
      <c r="C8" s="732" t="s">
        <v>1188</v>
      </c>
      <c r="D8" s="733">
        <v>10169.164</v>
      </c>
      <c r="E8" s="733">
        <v>10169.164</v>
      </c>
      <c r="F8" s="733"/>
      <c r="G8" s="733"/>
      <c r="H8" s="801"/>
      <c r="I8" s="733"/>
      <c r="J8" s="733">
        <v>2643057</v>
      </c>
      <c r="K8" s="734">
        <v>69025</v>
      </c>
      <c r="L8" s="832">
        <f>SUM(J8:K8)</f>
        <v>2712082</v>
      </c>
      <c r="M8" s="735">
        <f>D8*J8+E8*K8</f>
        <v>27579606639.448</v>
      </c>
      <c r="N8" s="735">
        <f>H8*L8</f>
        <v>0</v>
      </c>
      <c r="O8" s="744"/>
      <c r="P8" s="744"/>
      <c r="Q8" s="744">
        <f t="shared" si="0"/>
        <v>0</v>
      </c>
      <c r="R8" s="737"/>
      <c r="S8" s="750"/>
      <c r="T8" s="1282"/>
      <c r="U8" s="739">
        <f aca="true" t="shared" si="2" ref="U8:U21">M8/L8</f>
        <v>10169.164</v>
      </c>
      <c r="V8" s="730">
        <v>28994988</v>
      </c>
      <c r="W8" s="741">
        <f aca="true" t="shared" si="3" ref="W8:W21">ROUND(V8/L8,3)</f>
        <v>10.691</v>
      </c>
      <c r="X8" s="739">
        <f aca="true" t="shared" si="4" ref="X8:X21">ROUND((2646*W8*100)/(U8*95),2)</f>
        <v>2.93</v>
      </c>
      <c r="Y8" s="742">
        <f aca="true" t="shared" si="5" ref="Y8:Y21">X8*Q8</f>
        <v>0</v>
      </c>
      <c r="Z8" s="743">
        <f t="shared" si="1"/>
        <v>-28994988</v>
      </c>
      <c r="AA8" s="831"/>
      <c r="AB8" s="728"/>
      <c r="AC8" s="731"/>
    </row>
    <row r="9" spans="1:29" ht="15">
      <c r="A9" s="760"/>
      <c r="B9" s="761"/>
      <c r="C9" s="732" t="s">
        <v>1187</v>
      </c>
      <c r="D9" s="833"/>
      <c r="E9" s="833"/>
      <c r="F9" s="833"/>
      <c r="G9" s="733"/>
      <c r="H9" s="834"/>
      <c r="I9" s="733"/>
      <c r="J9" s="833"/>
      <c r="K9" s="734"/>
      <c r="L9" s="835">
        <f>SUM(L7:L8)</f>
        <v>2712082</v>
      </c>
      <c r="M9" s="747">
        <f>SUM(M7:M8)</f>
        <v>27579606639.448</v>
      </c>
      <c r="N9" s="735"/>
      <c r="O9" s="748">
        <v>7113000</v>
      </c>
      <c r="P9" s="748">
        <v>437061.2</v>
      </c>
      <c r="Q9" s="836">
        <f t="shared" si="0"/>
        <v>6675938.8</v>
      </c>
      <c r="R9" s="737">
        <f>ROUND((P9/O9)*100,2)</f>
        <v>6.14</v>
      </c>
      <c r="S9" s="750">
        <f>ROUND((M9)/O9,2)</f>
        <v>3877.35</v>
      </c>
      <c r="T9" s="837"/>
      <c r="U9" s="782">
        <f t="shared" si="2"/>
        <v>10169.164</v>
      </c>
      <c r="V9" s="752">
        <f>SUM(V7:V8)</f>
        <v>28994988</v>
      </c>
      <c r="W9" s="741">
        <f t="shared" si="3"/>
        <v>10.691</v>
      </c>
      <c r="X9" s="739">
        <f t="shared" si="4"/>
        <v>2.93</v>
      </c>
      <c r="Y9" s="740">
        <f t="shared" si="5"/>
        <v>19560500.684</v>
      </c>
      <c r="Z9" s="838">
        <f t="shared" si="1"/>
        <v>-9434487.316</v>
      </c>
      <c r="AA9" s="831">
        <f>O9*100/(780000*31)</f>
        <v>29.416873449131515</v>
      </c>
      <c r="AB9" s="728">
        <v>31</v>
      </c>
      <c r="AC9" s="731">
        <v>32679492</v>
      </c>
    </row>
    <row r="10" spans="1:29" ht="15">
      <c r="A10" s="1275">
        <v>3</v>
      </c>
      <c r="B10" s="1279" t="s">
        <v>1883</v>
      </c>
      <c r="C10" s="732" t="s">
        <v>1189</v>
      </c>
      <c r="D10" s="839">
        <v>10041.304</v>
      </c>
      <c r="E10" s="839">
        <v>10041.304</v>
      </c>
      <c r="F10" s="839"/>
      <c r="G10" s="733"/>
      <c r="H10" s="839"/>
      <c r="I10" s="801"/>
      <c r="J10" s="839">
        <v>2716118</v>
      </c>
      <c r="K10" s="734">
        <v>84004</v>
      </c>
      <c r="L10" s="734">
        <f>SUM(J10:K10)</f>
        <v>2800122</v>
      </c>
      <c r="M10" s="735">
        <f>D10*J10+E10*K10</f>
        <v>28116876239.088</v>
      </c>
      <c r="N10" s="735">
        <f>H10*L10</f>
        <v>0</v>
      </c>
      <c r="O10" s="736"/>
      <c r="P10" s="736"/>
      <c r="Q10" s="736">
        <f t="shared" si="0"/>
        <v>0</v>
      </c>
      <c r="R10" s="737"/>
      <c r="S10" s="750"/>
      <c r="T10" s="1281"/>
      <c r="U10" s="739">
        <f t="shared" si="2"/>
        <v>10041.304</v>
      </c>
      <c r="V10" s="730">
        <v>29225298</v>
      </c>
      <c r="W10" s="741">
        <f t="shared" si="3"/>
        <v>10.437</v>
      </c>
      <c r="X10" s="739">
        <f t="shared" si="4"/>
        <v>2.9</v>
      </c>
      <c r="Y10" s="742">
        <f t="shared" si="5"/>
        <v>0</v>
      </c>
      <c r="Z10" s="743">
        <f t="shared" si="1"/>
        <v>-29225298</v>
      </c>
      <c r="AA10" s="831"/>
      <c r="AB10" s="728"/>
      <c r="AC10" s="731"/>
    </row>
    <row r="11" spans="1:29" ht="15">
      <c r="A11" s="1278"/>
      <c r="B11" s="1280"/>
      <c r="C11" s="732" t="s">
        <v>1188</v>
      </c>
      <c r="D11" s="839">
        <v>10149.18</v>
      </c>
      <c r="E11" s="839">
        <v>10149.18</v>
      </c>
      <c r="F11" s="839"/>
      <c r="G11" s="733"/>
      <c r="H11" s="839"/>
      <c r="I11" s="733"/>
      <c r="J11" s="733">
        <v>2736847</v>
      </c>
      <c r="K11" s="734">
        <v>65589</v>
      </c>
      <c r="L11" s="840">
        <f>SUM(J11:K11)</f>
        <v>2802436</v>
      </c>
      <c r="M11" s="735">
        <f>D11*J11+E11*K11</f>
        <v>28442427402.48</v>
      </c>
      <c r="N11" s="735">
        <f>H11*L11</f>
        <v>0</v>
      </c>
      <c r="O11" s="744"/>
      <c r="P11" s="744"/>
      <c r="Q11" s="836">
        <f t="shared" si="0"/>
        <v>0</v>
      </c>
      <c r="R11" s="737"/>
      <c r="S11" s="750"/>
      <c r="T11" s="1282"/>
      <c r="U11" s="739">
        <f t="shared" si="2"/>
        <v>10149.18</v>
      </c>
      <c r="V11" s="730">
        <v>29337007</v>
      </c>
      <c r="W11" s="741">
        <f t="shared" si="3"/>
        <v>10.468</v>
      </c>
      <c r="X11" s="739">
        <f t="shared" si="4"/>
        <v>2.87</v>
      </c>
      <c r="Y11" s="742">
        <f t="shared" si="5"/>
        <v>0</v>
      </c>
      <c r="Z11" s="730">
        <f t="shared" si="1"/>
        <v>-29337007</v>
      </c>
      <c r="AA11" s="831"/>
      <c r="AB11" s="728"/>
      <c r="AC11" s="731"/>
    </row>
    <row r="12" spans="1:29" ht="15">
      <c r="A12" s="760"/>
      <c r="B12" s="761"/>
      <c r="C12" s="732" t="s">
        <v>1187</v>
      </c>
      <c r="D12" s="839"/>
      <c r="E12" s="839"/>
      <c r="F12" s="839"/>
      <c r="G12" s="733"/>
      <c r="H12" s="839"/>
      <c r="I12" s="733"/>
      <c r="J12" s="733"/>
      <c r="K12" s="733"/>
      <c r="L12" s="841">
        <f>SUM(L10:L11)</f>
        <v>5602558</v>
      </c>
      <c r="M12" s="747">
        <f>SUM(M10:M11)</f>
        <v>56559303641.568</v>
      </c>
      <c r="N12" s="735">
        <f>H12*L12</f>
        <v>0</v>
      </c>
      <c r="O12" s="748">
        <v>14672000</v>
      </c>
      <c r="P12" s="748">
        <v>796169.6</v>
      </c>
      <c r="Q12" s="836">
        <f t="shared" si="0"/>
        <v>13875830.4</v>
      </c>
      <c r="R12" s="737">
        <f>ROUND((P12/O12)*100,2)</f>
        <v>5.43</v>
      </c>
      <c r="S12" s="750">
        <f>ROUND((M12)/O12,2)</f>
        <v>3854.91</v>
      </c>
      <c r="T12" s="842"/>
      <c r="U12" s="782">
        <f t="shared" si="2"/>
        <v>10095.264277775974</v>
      </c>
      <c r="V12" s="752">
        <f>SUM(V10:V11)</f>
        <v>58562305</v>
      </c>
      <c r="W12" s="741">
        <f t="shared" si="3"/>
        <v>10.453</v>
      </c>
      <c r="X12" s="739">
        <f t="shared" si="4"/>
        <v>2.88</v>
      </c>
      <c r="Y12" s="740">
        <f t="shared" si="5"/>
        <v>39962391.552</v>
      </c>
      <c r="Z12" s="838">
        <f t="shared" si="1"/>
        <v>-18599913.448</v>
      </c>
      <c r="AA12" s="831">
        <f>O12*100/(780000*30)</f>
        <v>62.7008547008547</v>
      </c>
      <c r="AB12" s="728">
        <v>30</v>
      </c>
      <c r="AC12" s="731">
        <v>70064601</v>
      </c>
    </row>
    <row r="13" spans="1:29" ht="15">
      <c r="A13" s="1275">
        <v>4</v>
      </c>
      <c r="B13" s="1276" t="s">
        <v>1884</v>
      </c>
      <c r="C13" s="732" t="s">
        <v>1189</v>
      </c>
      <c r="D13" s="733">
        <v>10183.417</v>
      </c>
      <c r="E13" s="733">
        <v>10183.417</v>
      </c>
      <c r="F13" s="733"/>
      <c r="G13" s="734"/>
      <c r="H13" s="733"/>
      <c r="I13" s="734"/>
      <c r="J13" s="733">
        <v>2745418</v>
      </c>
      <c r="K13" s="734">
        <v>78128</v>
      </c>
      <c r="L13" s="840">
        <f>SUM(J13:K13)</f>
        <v>2823546</v>
      </c>
      <c r="M13" s="735">
        <f>D13*J13+E13*K13</f>
        <v>28753346336.682</v>
      </c>
      <c r="N13" s="735">
        <f>H13*L13</f>
        <v>0</v>
      </c>
      <c r="O13" s="736"/>
      <c r="P13" s="736"/>
      <c r="Q13" s="744">
        <f t="shared" si="0"/>
        <v>0</v>
      </c>
      <c r="R13" s="737"/>
      <c r="S13" s="750"/>
      <c r="T13" s="1274"/>
      <c r="U13" s="739">
        <f t="shared" si="2"/>
        <v>10183.417</v>
      </c>
      <c r="V13" s="730">
        <v>29815590</v>
      </c>
      <c r="W13" s="741">
        <f t="shared" si="3"/>
        <v>10.56</v>
      </c>
      <c r="X13" s="739">
        <f t="shared" si="4"/>
        <v>2.89</v>
      </c>
      <c r="Y13" s="730">
        <f t="shared" si="5"/>
        <v>0</v>
      </c>
      <c r="Z13" s="730">
        <f t="shared" si="1"/>
        <v>-29815590</v>
      </c>
      <c r="AA13" s="831"/>
      <c r="AB13" s="728"/>
      <c r="AC13" s="731"/>
    </row>
    <row r="14" spans="1:29" ht="15">
      <c r="A14" s="1278"/>
      <c r="B14" s="1277"/>
      <c r="C14" s="732" t="s">
        <v>1188</v>
      </c>
      <c r="D14" s="801">
        <v>10397.58</v>
      </c>
      <c r="E14" s="801">
        <v>10309.325</v>
      </c>
      <c r="F14" s="801"/>
      <c r="G14" s="801"/>
      <c r="H14" s="830"/>
      <c r="I14" s="733"/>
      <c r="J14" s="733">
        <v>2918093</v>
      </c>
      <c r="K14" s="734">
        <v>54112</v>
      </c>
      <c r="L14" s="840">
        <f>SUM(J14:K14)</f>
        <v>2972205</v>
      </c>
      <c r="M14" s="735">
        <f>D14*J14+E14*K14</f>
        <v>30898963609.34</v>
      </c>
      <c r="N14" s="735">
        <f>H14*L14</f>
        <v>0</v>
      </c>
      <c r="O14" s="744"/>
      <c r="P14" s="744"/>
      <c r="Q14" s="744">
        <f t="shared" si="0"/>
        <v>0</v>
      </c>
      <c r="R14" s="737"/>
      <c r="S14" s="750"/>
      <c r="T14" s="1274"/>
      <c r="U14" s="739">
        <f t="shared" si="2"/>
        <v>10395.973228407865</v>
      </c>
      <c r="V14" s="730">
        <v>31605837</v>
      </c>
      <c r="W14" s="741">
        <f t="shared" si="3"/>
        <v>10.634</v>
      </c>
      <c r="X14" s="739">
        <f t="shared" si="4"/>
        <v>2.85</v>
      </c>
      <c r="Y14" s="730">
        <f t="shared" si="5"/>
        <v>0</v>
      </c>
      <c r="Z14" s="730">
        <f t="shared" si="1"/>
        <v>-31605837</v>
      </c>
      <c r="AA14" s="831"/>
      <c r="AB14" s="728"/>
      <c r="AC14" s="731"/>
    </row>
    <row r="15" spans="1:29" ht="15">
      <c r="A15" s="760"/>
      <c r="B15" s="775"/>
      <c r="C15" s="732" t="s">
        <v>1187</v>
      </c>
      <c r="D15" s="801"/>
      <c r="E15" s="801"/>
      <c r="F15" s="801"/>
      <c r="G15" s="801"/>
      <c r="H15" s="830"/>
      <c r="I15" s="733"/>
      <c r="J15" s="733"/>
      <c r="K15" s="733"/>
      <c r="L15" s="841">
        <f>SUM(L13:L14)</f>
        <v>5795751</v>
      </c>
      <c r="M15" s="747">
        <f>SUM(M13:M14)</f>
        <v>59652309946.022</v>
      </c>
      <c r="N15" s="735">
        <f>SUM(N13:N14)</f>
        <v>0</v>
      </c>
      <c r="O15" s="747">
        <v>21253630</v>
      </c>
      <c r="P15" s="747">
        <v>1325262.2</v>
      </c>
      <c r="Q15" s="843">
        <f t="shared" si="0"/>
        <v>19928367.8</v>
      </c>
      <c r="R15" s="737">
        <f>ROUND((P15/O15)*100,2)</f>
        <v>6.24</v>
      </c>
      <c r="S15" s="750">
        <f>ROUND((M15)/O15,2)</f>
        <v>2806.69</v>
      </c>
      <c r="T15" s="844"/>
      <c r="U15" s="782">
        <f t="shared" si="2"/>
        <v>10292.421110917636</v>
      </c>
      <c r="V15" s="752">
        <f>SUM(V13:V14)</f>
        <v>61421427</v>
      </c>
      <c r="W15" s="741">
        <f t="shared" si="3"/>
        <v>10.598</v>
      </c>
      <c r="X15" s="739">
        <f t="shared" si="4"/>
        <v>2.87</v>
      </c>
      <c r="Y15" s="740">
        <f t="shared" si="5"/>
        <v>57194415.586</v>
      </c>
      <c r="Z15" s="752">
        <f t="shared" si="1"/>
        <v>-4227011.413999997</v>
      </c>
      <c r="AA15" s="800">
        <f>O15*100/(780000*31)</f>
        <v>87.89755996691481</v>
      </c>
      <c r="AB15" s="728">
        <v>31</v>
      </c>
      <c r="AC15" s="731">
        <v>76227749</v>
      </c>
    </row>
    <row r="16" spans="1:29" ht="15">
      <c r="A16" s="1275">
        <v>5</v>
      </c>
      <c r="B16" s="1279" t="s">
        <v>1885</v>
      </c>
      <c r="C16" s="732" t="s">
        <v>1189</v>
      </c>
      <c r="D16" s="801">
        <v>10136.201</v>
      </c>
      <c r="E16" s="801">
        <v>10136.201</v>
      </c>
      <c r="F16" s="801"/>
      <c r="G16" s="801"/>
      <c r="H16" s="733"/>
      <c r="I16" s="733"/>
      <c r="J16" s="733">
        <v>2690971</v>
      </c>
      <c r="K16" s="845">
        <v>26268</v>
      </c>
      <c r="L16" s="832">
        <f>SUM(J16,K16,F16)</f>
        <v>2717239</v>
      </c>
      <c r="M16" s="735">
        <f>D16*J16+E16*K16</f>
        <v>27542480669.038998</v>
      </c>
      <c r="N16" s="735">
        <f>G16*K16+H16*L16</f>
        <v>0</v>
      </c>
      <c r="O16" s="736"/>
      <c r="P16" s="736"/>
      <c r="Q16" s="836">
        <f t="shared" si="0"/>
        <v>0</v>
      </c>
      <c r="R16" s="737"/>
      <c r="S16" s="750"/>
      <c r="T16" s="1281"/>
      <c r="U16" s="739">
        <f t="shared" si="2"/>
        <v>10136.201</v>
      </c>
      <c r="V16" s="730">
        <v>28058880</v>
      </c>
      <c r="W16" s="741">
        <f t="shared" si="3"/>
        <v>10.326</v>
      </c>
      <c r="X16" s="739">
        <f t="shared" si="4"/>
        <v>2.84</v>
      </c>
      <c r="Y16" s="730">
        <f t="shared" si="5"/>
        <v>0</v>
      </c>
      <c r="Z16" s="730">
        <f t="shared" si="1"/>
        <v>-28058880</v>
      </c>
      <c r="AA16" s="831"/>
      <c r="AB16" s="728"/>
      <c r="AC16" s="731"/>
    </row>
    <row r="17" spans="1:29" ht="15">
      <c r="A17" s="1278"/>
      <c r="B17" s="1280"/>
      <c r="C17" s="732" t="s">
        <v>1188</v>
      </c>
      <c r="D17" s="733">
        <v>10120.239</v>
      </c>
      <c r="E17" s="733">
        <v>10120.239</v>
      </c>
      <c r="F17" s="733"/>
      <c r="G17" s="733"/>
      <c r="H17" s="801"/>
      <c r="I17" s="733"/>
      <c r="J17" s="733">
        <v>2934469</v>
      </c>
      <c r="K17" s="733">
        <v>104178</v>
      </c>
      <c r="L17" s="840">
        <f>SUM(J17:K17)</f>
        <v>3038647</v>
      </c>
      <c r="M17" s="735">
        <f>D17*J17+E17*K17</f>
        <v>30751833876.633</v>
      </c>
      <c r="N17" s="735">
        <f>H17*L17</f>
        <v>0</v>
      </c>
      <c r="O17" s="744"/>
      <c r="P17" s="744"/>
      <c r="Q17" s="836">
        <f t="shared" si="0"/>
        <v>0</v>
      </c>
      <c r="R17" s="737"/>
      <c r="S17" s="750"/>
      <c r="T17" s="1282"/>
      <c r="U17" s="739">
        <f t="shared" si="2"/>
        <v>10120.239</v>
      </c>
      <c r="V17" s="730">
        <v>30904029</v>
      </c>
      <c r="W17" s="741">
        <f t="shared" si="3"/>
        <v>10.17</v>
      </c>
      <c r="X17" s="739">
        <f t="shared" si="4"/>
        <v>2.8</v>
      </c>
      <c r="Y17" s="730">
        <f t="shared" si="5"/>
        <v>0</v>
      </c>
      <c r="Z17" s="730">
        <f t="shared" si="1"/>
        <v>-30904029</v>
      </c>
      <c r="AA17" s="831"/>
      <c r="AB17" s="728"/>
      <c r="AC17" s="731"/>
    </row>
    <row r="18" spans="1:29" ht="15">
      <c r="A18" s="760"/>
      <c r="B18" s="761"/>
      <c r="C18" s="732" t="s">
        <v>1187</v>
      </c>
      <c r="D18" s="733"/>
      <c r="E18" s="733"/>
      <c r="F18" s="733"/>
      <c r="G18" s="733"/>
      <c r="H18" s="801"/>
      <c r="I18" s="733"/>
      <c r="J18" s="833"/>
      <c r="K18" s="733"/>
      <c r="L18" s="841">
        <f>SUM(L16:L17)</f>
        <v>5755886</v>
      </c>
      <c r="M18" s="841">
        <f>SUM(M16:M17)</f>
        <v>58294314545.672</v>
      </c>
      <c r="N18" s="840">
        <f>SUM(N16:N17)</f>
        <v>0</v>
      </c>
      <c r="O18" s="841">
        <v>21690440</v>
      </c>
      <c r="P18" s="841">
        <v>1465001.6</v>
      </c>
      <c r="Q18" s="836">
        <f t="shared" si="0"/>
        <v>20225438.4</v>
      </c>
      <c r="R18" s="737">
        <f>ROUND((P18/O18)*100,2)</f>
        <v>6.75</v>
      </c>
      <c r="S18" s="750">
        <f>ROUND((M18)/O18,2)</f>
        <v>2687.56</v>
      </c>
      <c r="T18" s="842"/>
      <c r="U18" s="782">
        <f t="shared" si="2"/>
        <v>10127.774341894888</v>
      </c>
      <c r="V18" s="752">
        <f>SUM(V16:V17)</f>
        <v>58962909</v>
      </c>
      <c r="W18" s="741">
        <f t="shared" si="3"/>
        <v>10.244</v>
      </c>
      <c r="X18" s="739">
        <f t="shared" si="4"/>
        <v>2.82</v>
      </c>
      <c r="Y18" s="740">
        <f t="shared" si="5"/>
        <v>57035736.287999995</v>
      </c>
      <c r="Z18" s="752">
        <f t="shared" si="1"/>
        <v>-1927172.712000005</v>
      </c>
      <c r="AA18" s="800">
        <f>O18*100/(780000*31)</f>
        <v>89.704052936311</v>
      </c>
      <c r="AB18" s="728">
        <v>31</v>
      </c>
      <c r="AC18" s="731">
        <v>76210070</v>
      </c>
    </row>
    <row r="19" spans="1:29" ht="15">
      <c r="A19" s="1275">
        <v>6</v>
      </c>
      <c r="B19" s="1279" t="s">
        <v>1886</v>
      </c>
      <c r="C19" s="732" t="s">
        <v>1189</v>
      </c>
      <c r="D19" s="846">
        <v>10101.589</v>
      </c>
      <c r="E19" s="846">
        <v>10101.589</v>
      </c>
      <c r="F19" s="846"/>
      <c r="G19" s="733"/>
      <c r="H19" s="846"/>
      <c r="I19" s="801"/>
      <c r="J19" s="839">
        <v>2760000</v>
      </c>
      <c r="K19" s="733">
        <v>120109</v>
      </c>
      <c r="L19" s="840">
        <f>SUM(J19:K19)</f>
        <v>2880109</v>
      </c>
      <c r="M19" s="735">
        <f>D19*J19+G19*K19</f>
        <v>27880385640</v>
      </c>
      <c r="N19" s="735">
        <f>H19*L19</f>
        <v>0</v>
      </c>
      <c r="O19" s="736"/>
      <c r="P19" s="736"/>
      <c r="Q19" s="744"/>
      <c r="R19" s="737"/>
      <c r="S19" s="750"/>
      <c r="T19" s="1274"/>
      <c r="U19" s="782">
        <f t="shared" si="2"/>
        <v>9680.323084994352</v>
      </c>
      <c r="V19" s="730">
        <v>29647614</v>
      </c>
      <c r="W19" s="741">
        <f t="shared" si="3"/>
        <v>10.294</v>
      </c>
      <c r="X19" s="739">
        <f t="shared" si="4"/>
        <v>2.96</v>
      </c>
      <c r="Y19" s="740">
        <f t="shared" si="5"/>
        <v>0</v>
      </c>
      <c r="Z19" s="730">
        <f t="shared" si="1"/>
        <v>-29647614</v>
      </c>
      <c r="AA19" s="831"/>
      <c r="AB19" s="728"/>
      <c r="AC19" s="731"/>
    </row>
    <row r="20" spans="1:29" ht="15">
      <c r="A20" s="1278"/>
      <c r="B20" s="1280"/>
      <c r="C20" s="732" t="s">
        <v>1188</v>
      </c>
      <c r="D20" s="839">
        <v>10371.13</v>
      </c>
      <c r="E20" s="839">
        <v>10081.831</v>
      </c>
      <c r="F20" s="839"/>
      <c r="G20" s="847"/>
      <c r="H20" s="839"/>
      <c r="I20" s="733"/>
      <c r="J20" s="733">
        <v>2733298</v>
      </c>
      <c r="K20" s="733">
        <v>63890</v>
      </c>
      <c r="L20" s="840">
        <f>SUM(J20:K20)</f>
        <v>2797188</v>
      </c>
      <c r="M20" s="735">
        <f>D20*J20+G20*K20</f>
        <v>28347388886.739998</v>
      </c>
      <c r="N20" s="735">
        <f>H20*L20</f>
        <v>0</v>
      </c>
      <c r="O20" s="744"/>
      <c r="P20" s="744"/>
      <c r="Q20" s="744"/>
      <c r="R20" s="737"/>
      <c r="S20" s="750"/>
      <c r="T20" s="1274"/>
      <c r="U20" s="782">
        <f t="shared" si="2"/>
        <v>10134.245137166325</v>
      </c>
      <c r="V20" s="730">
        <v>28754287</v>
      </c>
      <c r="W20" s="741">
        <f t="shared" si="3"/>
        <v>10.28</v>
      </c>
      <c r="X20" s="739">
        <f t="shared" si="4"/>
        <v>2.83</v>
      </c>
      <c r="Y20" s="740">
        <f t="shared" si="5"/>
        <v>0</v>
      </c>
      <c r="Z20" s="730">
        <f t="shared" si="1"/>
        <v>-28754287</v>
      </c>
      <c r="AA20" s="831"/>
      <c r="AB20" s="728"/>
      <c r="AC20" s="731"/>
    </row>
    <row r="21" spans="1:29" ht="15">
      <c r="A21" s="760"/>
      <c r="B21" s="761"/>
      <c r="C21" s="732" t="s">
        <v>1187</v>
      </c>
      <c r="D21" s="839"/>
      <c r="E21" s="839"/>
      <c r="F21" s="839"/>
      <c r="G21" s="847"/>
      <c r="H21" s="839"/>
      <c r="I21" s="733"/>
      <c r="J21" s="733"/>
      <c r="K21" s="733"/>
      <c r="L21" s="841">
        <f>SUM(L19:L20)</f>
        <v>5677297</v>
      </c>
      <c r="M21" s="841">
        <f>SUM(M19:M20)</f>
        <v>56227774526.74</v>
      </c>
      <c r="N21" s="735"/>
      <c r="O21" s="748">
        <v>21310260</v>
      </c>
      <c r="P21" s="748">
        <v>1323055.4</v>
      </c>
      <c r="Q21" s="748">
        <v>19987204.6</v>
      </c>
      <c r="R21" s="737">
        <f>ROUND((P21/O21)*100,2)</f>
        <v>6.21</v>
      </c>
      <c r="S21" s="750">
        <f>ROUND((M21)/O21,2)</f>
        <v>2638.53</v>
      </c>
      <c r="T21" s="799"/>
      <c r="U21" s="782">
        <f t="shared" si="2"/>
        <v>9903.96918229573</v>
      </c>
      <c r="V21" s="752">
        <f>SUM(V19:V20)</f>
        <v>58401901</v>
      </c>
      <c r="W21" s="741">
        <f t="shared" si="3"/>
        <v>10.287</v>
      </c>
      <c r="X21" s="739">
        <f t="shared" si="4"/>
        <v>2.89</v>
      </c>
      <c r="Y21" s="740">
        <f t="shared" si="5"/>
        <v>57763021.29400001</v>
      </c>
      <c r="Z21" s="752">
        <f t="shared" si="1"/>
        <v>-638879.7059999928</v>
      </c>
      <c r="AA21" s="800">
        <f>O21*100/(780000*30)</f>
        <v>91.06948717948718</v>
      </c>
      <c r="AB21" s="728">
        <v>30</v>
      </c>
      <c r="AC21" s="731">
        <v>74997506</v>
      </c>
    </row>
    <row r="22" spans="1:29" ht="15">
      <c r="A22" s="790">
        <v>7</v>
      </c>
      <c r="B22" s="791" t="s">
        <v>1887</v>
      </c>
      <c r="C22" s="732" t="s">
        <v>1189</v>
      </c>
      <c r="D22" s="153"/>
      <c r="E22" s="153"/>
      <c r="F22" s="711"/>
      <c r="G22" s="711"/>
      <c r="H22" s="153"/>
      <c r="I22" s="153"/>
      <c r="J22" s="153"/>
      <c r="K22" s="153"/>
      <c r="L22" s="746">
        <f>SUM(J22:K22)</f>
        <v>0</v>
      </c>
      <c r="M22" s="746">
        <f>D22*J22+E22*K22</f>
        <v>0</v>
      </c>
      <c r="N22" s="746"/>
      <c r="O22" s="746"/>
      <c r="P22" s="746"/>
      <c r="Q22" s="746"/>
      <c r="R22" s="848"/>
      <c r="S22" s="777"/>
      <c r="T22" s="799"/>
      <c r="U22" s="782"/>
      <c r="V22" s="740"/>
      <c r="W22" s="849"/>
      <c r="X22" s="739"/>
      <c r="Y22" s="740"/>
      <c r="Z22" s="740">
        <f t="shared" si="1"/>
        <v>0</v>
      </c>
      <c r="AA22" s="800"/>
      <c r="AB22" s="728"/>
      <c r="AC22" s="731"/>
    </row>
    <row r="23" spans="1:29" ht="15">
      <c r="A23" s="1272"/>
      <c r="B23" s="1273"/>
      <c r="C23" s="732" t="s">
        <v>1188</v>
      </c>
      <c r="D23" s="153"/>
      <c r="E23" s="153"/>
      <c r="F23" s="711"/>
      <c r="G23" s="711"/>
      <c r="H23" s="153"/>
      <c r="I23" s="153"/>
      <c r="J23" s="153"/>
      <c r="K23" s="153"/>
      <c r="L23" s="746">
        <f>SUM(J23:K23)</f>
        <v>0</v>
      </c>
      <c r="M23" s="746">
        <f>D23*J23+E23*K23</f>
        <v>0</v>
      </c>
      <c r="N23" s="735"/>
      <c r="O23" s="736"/>
      <c r="P23" s="736"/>
      <c r="Q23" s="736"/>
      <c r="R23" s="848"/>
      <c r="S23" s="777"/>
      <c r="T23" s="1274"/>
      <c r="U23" s="782"/>
      <c r="V23" s="730"/>
      <c r="W23" s="849"/>
      <c r="X23" s="739"/>
      <c r="Y23" s="740"/>
      <c r="Z23" s="740">
        <f t="shared" si="1"/>
        <v>0</v>
      </c>
      <c r="AA23" s="800"/>
      <c r="AB23" s="728"/>
      <c r="AC23" s="731"/>
    </row>
    <row r="24" spans="1:29" ht="15">
      <c r="A24" s="1272"/>
      <c r="B24" s="1273"/>
      <c r="C24" s="732" t="s">
        <v>1187</v>
      </c>
      <c r="D24" s="733"/>
      <c r="E24" s="733"/>
      <c r="F24" s="733"/>
      <c r="G24" s="733"/>
      <c r="H24" s="801"/>
      <c r="I24" s="733"/>
      <c r="J24" s="733"/>
      <c r="K24" s="733"/>
      <c r="L24" s="734">
        <f>SUM(L22:L23)</f>
        <v>0</v>
      </c>
      <c r="M24" s="734">
        <f>SUM(M22:M23)</f>
        <v>0</v>
      </c>
      <c r="N24" s="735"/>
      <c r="O24" s="744"/>
      <c r="P24" s="744"/>
      <c r="Q24" s="736"/>
      <c r="R24" s="848"/>
      <c r="S24" s="777"/>
      <c r="T24" s="1274"/>
      <c r="U24" s="782"/>
      <c r="V24" s="793"/>
      <c r="W24" s="849"/>
      <c r="X24" s="739"/>
      <c r="Y24" s="740"/>
      <c r="Z24" s="752">
        <f t="shared" si="1"/>
        <v>0</v>
      </c>
      <c r="AA24" s="800">
        <f>O24*100/(780000*31)</f>
        <v>0</v>
      </c>
      <c r="AB24" s="728"/>
      <c r="AC24" s="731"/>
    </row>
    <row r="25" spans="1:29" ht="15">
      <c r="A25" s="713">
        <v>8</v>
      </c>
      <c r="B25" s="794" t="s">
        <v>1888</v>
      </c>
      <c r="C25" s="732" t="s">
        <v>1189</v>
      </c>
      <c r="D25" s="733"/>
      <c r="E25" s="733"/>
      <c r="F25" s="733"/>
      <c r="G25" s="733"/>
      <c r="H25" s="801"/>
      <c r="I25" s="733"/>
      <c r="J25" s="733"/>
      <c r="K25" s="733"/>
      <c r="L25" s="746">
        <f>SUM(J25:K25)</f>
        <v>0</v>
      </c>
      <c r="M25" s="746">
        <f>D25*J25+E25*K25</f>
        <v>0</v>
      </c>
      <c r="N25" s="746"/>
      <c r="O25" s="798"/>
      <c r="P25" s="798"/>
      <c r="Q25" s="798"/>
      <c r="R25" s="848"/>
      <c r="S25" s="777"/>
      <c r="T25" s="799"/>
      <c r="U25" s="782"/>
      <c r="V25" s="740"/>
      <c r="W25" s="849"/>
      <c r="X25" s="739"/>
      <c r="Y25" s="740"/>
      <c r="Z25" s="740">
        <f t="shared" si="1"/>
        <v>0</v>
      </c>
      <c r="AA25" s="800"/>
      <c r="AB25" s="728"/>
      <c r="AC25" s="731"/>
    </row>
    <row r="26" spans="1:29" ht="15">
      <c r="A26" s="713"/>
      <c r="B26" s="1276"/>
      <c r="C26" s="732" t="s">
        <v>1188</v>
      </c>
      <c r="D26" s="733"/>
      <c r="E26" s="733"/>
      <c r="F26" s="733"/>
      <c r="G26" s="733"/>
      <c r="H26" s="801"/>
      <c r="I26" s="733"/>
      <c r="J26" s="733"/>
      <c r="K26" s="733"/>
      <c r="L26" s="746">
        <f>SUM(J26:K26)</f>
        <v>0</v>
      </c>
      <c r="M26" s="746">
        <f>D26*J26+E26*K26</f>
        <v>0</v>
      </c>
      <c r="N26" s="746"/>
      <c r="O26" s="798"/>
      <c r="P26" s="798"/>
      <c r="Q26" s="798"/>
      <c r="R26" s="848"/>
      <c r="S26" s="777"/>
      <c r="T26" s="799"/>
      <c r="U26" s="782"/>
      <c r="V26" s="740"/>
      <c r="W26" s="849"/>
      <c r="X26" s="739"/>
      <c r="Y26" s="740"/>
      <c r="Z26" s="740">
        <f t="shared" si="1"/>
        <v>0</v>
      </c>
      <c r="AA26" s="800"/>
      <c r="AB26" s="728"/>
      <c r="AC26" s="731"/>
    </row>
    <row r="27" spans="1:29" ht="15">
      <c r="A27" s="713"/>
      <c r="B27" s="1277"/>
      <c r="C27" s="732" t="s">
        <v>1187</v>
      </c>
      <c r="D27" s="733"/>
      <c r="E27" s="733"/>
      <c r="F27" s="733"/>
      <c r="G27" s="733"/>
      <c r="H27" s="801"/>
      <c r="I27" s="733"/>
      <c r="J27" s="733"/>
      <c r="K27" s="733"/>
      <c r="L27" s="746"/>
      <c r="M27" s="746">
        <f>SUM(M25:M26)</f>
        <v>0</v>
      </c>
      <c r="N27" s="746"/>
      <c r="O27" s="798"/>
      <c r="P27" s="798"/>
      <c r="Q27" s="798"/>
      <c r="R27" s="848"/>
      <c r="S27" s="777"/>
      <c r="T27" s="799"/>
      <c r="U27" s="782"/>
      <c r="V27" s="752"/>
      <c r="W27" s="849"/>
      <c r="X27" s="739"/>
      <c r="Y27" s="740"/>
      <c r="Z27" s="752">
        <f t="shared" si="1"/>
        <v>0</v>
      </c>
      <c r="AA27" s="800">
        <f>O27*100/(780000*30)</f>
        <v>0</v>
      </c>
      <c r="AB27" s="728"/>
      <c r="AC27" s="731"/>
    </row>
    <row r="28" spans="1:29" ht="15">
      <c r="A28" s="1272">
        <v>9</v>
      </c>
      <c r="B28" s="1273" t="s">
        <v>1889</v>
      </c>
      <c r="C28" s="732" t="s">
        <v>1189</v>
      </c>
      <c r="D28" s="733"/>
      <c r="E28" s="733"/>
      <c r="F28" s="733"/>
      <c r="G28" s="733"/>
      <c r="H28" s="801"/>
      <c r="I28" s="733"/>
      <c r="J28" s="733"/>
      <c r="K28" s="733"/>
      <c r="L28" s="734">
        <f>SUM(J28:K28)</f>
        <v>0</v>
      </c>
      <c r="M28" s="735">
        <f>D28*J28+E28*K28</f>
        <v>0</v>
      </c>
      <c r="N28" s="735"/>
      <c r="O28" s="736"/>
      <c r="P28" s="736"/>
      <c r="Q28" s="736"/>
      <c r="R28" s="848"/>
      <c r="S28" s="777"/>
      <c r="T28" s="1274"/>
      <c r="U28" s="782"/>
      <c r="V28" s="730"/>
      <c r="W28" s="849"/>
      <c r="X28" s="739"/>
      <c r="Y28" s="740"/>
      <c r="Z28" s="740">
        <f t="shared" si="1"/>
        <v>0</v>
      </c>
      <c r="AA28" s="800"/>
      <c r="AB28" s="728"/>
      <c r="AC28" s="731"/>
    </row>
    <row r="29" spans="1:29" ht="15">
      <c r="A29" s="1272"/>
      <c r="B29" s="1273"/>
      <c r="C29" s="732" t="s">
        <v>1188</v>
      </c>
      <c r="D29" s="733"/>
      <c r="E29" s="733"/>
      <c r="F29" s="733"/>
      <c r="G29" s="733"/>
      <c r="H29" s="801"/>
      <c r="I29" s="733"/>
      <c r="J29" s="733"/>
      <c r="K29" s="733"/>
      <c r="L29" s="734">
        <f>SUM(J29:K29)</f>
        <v>0</v>
      </c>
      <c r="M29" s="735">
        <f>D29*J29+E29*K29</f>
        <v>0</v>
      </c>
      <c r="N29" s="735"/>
      <c r="O29" s="744"/>
      <c r="P29" s="744"/>
      <c r="Q29" s="744"/>
      <c r="R29" s="848"/>
      <c r="S29" s="777"/>
      <c r="T29" s="1274"/>
      <c r="U29" s="782"/>
      <c r="V29" s="730"/>
      <c r="W29" s="849"/>
      <c r="X29" s="739"/>
      <c r="Y29" s="740"/>
      <c r="Z29" s="740">
        <f t="shared" si="1"/>
        <v>0</v>
      </c>
      <c r="AA29" s="800">
        <f>O29*100/(780000*30)</f>
        <v>0</v>
      </c>
      <c r="AB29" s="728"/>
      <c r="AC29" s="731"/>
    </row>
    <row r="30" spans="1:29" ht="15">
      <c r="A30" s="713"/>
      <c r="B30" s="794"/>
      <c r="C30" s="732" t="s">
        <v>1187</v>
      </c>
      <c r="D30" s="733"/>
      <c r="E30" s="733"/>
      <c r="F30" s="733"/>
      <c r="G30" s="733"/>
      <c r="H30" s="801"/>
      <c r="I30" s="733"/>
      <c r="J30" s="733"/>
      <c r="K30" s="733"/>
      <c r="L30" s="746">
        <f>SUM(L28:L29)</f>
        <v>0</v>
      </c>
      <c r="M30" s="746">
        <f>SUM(M28:M29)</f>
        <v>0</v>
      </c>
      <c r="N30" s="746"/>
      <c r="O30" s="746"/>
      <c r="P30" s="746"/>
      <c r="Q30" s="746"/>
      <c r="R30" s="848"/>
      <c r="S30" s="777"/>
      <c r="T30" s="799"/>
      <c r="U30" s="782"/>
      <c r="V30" s="752"/>
      <c r="W30" s="849"/>
      <c r="X30" s="739"/>
      <c r="Y30" s="740"/>
      <c r="Z30" s="752">
        <f t="shared" si="1"/>
        <v>0</v>
      </c>
      <c r="AA30" s="800">
        <f>O30*100/(780000*31)</f>
        <v>0</v>
      </c>
      <c r="AB30" s="728"/>
      <c r="AC30" s="731"/>
    </row>
    <row r="31" spans="1:29" ht="15">
      <c r="A31" s="1272">
        <v>10</v>
      </c>
      <c r="B31" s="1273" t="s">
        <v>1890</v>
      </c>
      <c r="C31" s="732" t="s">
        <v>1189</v>
      </c>
      <c r="D31" s="733"/>
      <c r="E31" s="733"/>
      <c r="F31" s="733"/>
      <c r="G31" s="733"/>
      <c r="H31" s="801"/>
      <c r="I31" s="733"/>
      <c r="J31" s="733"/>
      <c r="K31" s="733"/>
      <c r="L31" s="734">
        <f>SUM(J31:K31)</f>
        <v>0</v>
      </c>
      <c r="M31" s="735">
        <f>D31*J31+E31*K31</f>
        <v>0</v>
      </c>
      <c r="N31" s="735"/>
      <c r="O31" s="736"/>
      <c r="P31" s="736"/>
      <c r="Q31" s="736"/>
      <c r="R31" s="848"/>
      <c r="S31" s="777"/>
      <c r="T31" s="1274"/>
      <c r="U31" s="782"/>
      <c r="V31" s="730"/>
      <c r="W31" s="849"/>
      <c r="X31" s="739"/>
      <c r="Y31" s="740"/>
      <c r="Z31" s="740">
        <f t="shared" si="1"/>
        <v>0</v>
      </c>
      <c r="AA31" s="800">
        <f>O31*100/(780000*30)</f>
        <v>0</v>
      </c>
      <c r="AB31" s="728"/>
      <c r="AC31" s="731"/>
    </row>
    <row r="32" spans="1:29" ht="15">
      <c r="A32" s="1272"/>
      <c r="B32" s="1273"/>
      <c r="C32" s="732" t="s">
        <v>1188</v>
      </c>
      <c r="D32" s="801"/>
      <c r="E32" s="801"/>
      <c r="F32" s="801"/>
      <c r="G32" s="733"/>
      <c r="H32" s="801"/>
      <c r="I32" s="733"/>
      <c r="J32" s="733"/>
      <c r="K32" s="733"/>
      <c r="L32" s="734">
        <f>SUM(J32:K32)</f>
        <v>0</v>
      </c>
      <c r="M32" s="735">
        <f>D32*J32+E32*K32</f>
        <v>0</v>
      </c>
      <c r="N32" s="735"/>
      <c r="O32" s="744"/>
      <c r="P32" s="744"/>
      <c r="Q32" s="744"/>
      <c r="R32" s="848"/>
      <c r="S32" s="777"/>
      <c r="T32" s="1274"/>
      <c r="U32" s="782"/>
      <c r="V32" s="730"/>
      <c r="W32" s="849"/>
      <c r="X32" s="739"/>
      <c r="Y32" s="740"/>
      <c r="Z32" s="740">
        <f t="shared" si="1"/>
        <v>0</v>
      </c>
      <c r="AA32" s="800">
        <f>O32*100/(780000*30)</f>
        <v>0</v>
      </c>
      <c r="AB32" s="728"/>
      <c r="AC32" s="731"/>
    </row>
    <row r="33" spans="1:29" ht="15">
      <c r="A33" s="713"/>
      <c r="B33" s="794"/>
      <c r="C33" s="732" t="s">
        <v>1187</v>
      </c>
      <c r="D33" s="801"/>
      <c r="E33" s="801"/>
      <c r="F33" s="801"/>
      <c r="G33" s="733"/>
      <c r="H33" s="801"/>
      <c r="I33" s="733"/>
      <c r="J33" s="733"/>
      <c r="K33" s="733"/>
      <c r="L33" s="746">
        <f>SUM(L31:L32)</f>
        <v>0</v>
      </c>
      <c r="M33" s="746">
        <f>SUM(M31:M32)</f>
        <v>0</v>
      </c>
      <c r="N33" s="746"/>
      <c r="O33" s="746"/>
      <c r="P33" s="746"/>
      <c r="Q33" s="746"/>
      <c r="R33" s="848"/>
      <c r="S33" s="777"/>
      <c r="T33" s="799"/>
      <c r="U33" s="782"/>
      <c r="V33" s="752"/>
      <c r="W33" s="849"/>
      <c r="X33" s="739"/>
      <c r="Y33" s="740"/>
      <c r="Z33" s="752">
        <f t="shared" si="1"/>
        <v>0</v>
      </c>
      <c r="AA33" s="800">
        <f>O33*100/(780000*31)</f>
        <v>0</v>
      </c>
      <c r="AB33" s="728"/>
      <c r="AC33" s="731"/>
    </row>
    <row r="34" spans="1:29" ht="15">
      <c r="A34" s="1272">
        <v>11</v>
      </c>
      <c r="B34" s="1273" t="s">
        <v>1891</v>
      </c>
      <c r="C34" s="732" t="s">
        <v>1189</v>
      </c>
      <c r="D34" s="733"/>
      <c r="E34" s="733"/>
      <c r="F34" s="733"/>
      <c r="G34" s="733"/>
      <c r="H34" s="801"/>
      <c r="I34" s="733"/>
      <c r="J34" s="733"/>
      <c r="K34" s="733"/>
      <c r="L34" s="734">
        <f>SUM(J34+K34)</f>
        <v>0</v>
      </c>
      <c r="M34" s="735">
        <f>D34*J34+E34*K34</f>
        <v>0</v>
      </c>
      <c r="N34" s="735"/>
      <c r="O34" s="736"/>
      <c r="P34" s="736"/>
      <c r="Q34" s="736"/>
      <c r="R34" s="848"/>
      <c r="S34" s="777"/>
      <c r="T34" s="1274"/>
      <c r="U34" s="782"/>
      <c r="V34" s="730"/>
      <c r="W34" s="849"/>
      <c r="X34" s="739"/>
      <c r="Y34" s="740"/>
      <c r="Z34" s="740"/>
      <c r="AA34" s="800"/>
      <c r="AB34" s="728"/>
      <c r="AC34" s="731"/>
    </row>
    <row r="35" spans="1:29" ht="15">
      <c r="A35" s="1272"/>
      <c r="B35" s="1273"/>
      <c r="C35" s="732" t="s">
        <v>1188</v>
      </c>
      <c r="D35" s="733"/>
      <c r="E35" s="733"/>
      <c r="F35" s="733"/>
      <c r="G35" s="733"/>
      <c r="H35" s="801"/>
      <c r="I35" s="733"/>
      <c r="J35" s="733"/>
      <c r="K35" s="733"/>
      <c r="L35" s="734">
        <f>SUM(J35+K35)</f>
        <v>0</v>
      </c>
      <c r="M35" s="735">
        <f>D35*J35+E35*K35</f>
        <v>0</v>
      </c>
      <c r="N35" s="735"/>
      <c r="O35" s="744"/>
      <c r="P35" s="744"/>
      <c r="Q35" s="736"/>
      <c r="R35" s="848"/>
      <c r="S35" s="777"/>
      <c r="T35" s="1274"/>
      <c r="U35" s="782"/>
      <c r="V35" s="730"/>
      <c r="W35" s="849"/>
      <c r="X35" s="739"/>
      <c r="Y35" s="740"/>
      <c r="Z35" s="740">
        <f>Y35-V35</f>
        <v>0</v>
      </c>
      <c r="AA35" s="800">
        <f>O35*100/(780000*30)</f>
        <v>0</v>
      </c>
      <c r="AB35" s="728"/>
      <c r="AC35" s="731"/>
    </row>
    <row r="36" spans="1:29" ht="15">
      <c r="A36" s="713"/>
      <c r="B36" s="794"/>
      <c r="C36" s="732" t="s">
        <v>1187</v>
      </c>
      <c r="D36" s="733"/>
      <c r="E36" s="733"/>
      <c r="F36" s="733"/>
      <c r="G36" s="733"/>
      <c r="H36" s="801"/>
      <c r="I36" s="733"/>
      <c r="J36" s="733"/>
      <c r="K36" s="733"/>
      <c r="L36" s="734">
        <f>SUM(L34+L35)</f>
        <v>0</v>
      </c>
      <c r="M36" s="734">
        <f>SUM(M34+M35)</f>
        <v>0</v>
      </c>
      <c r="N36" s="735"/>
      <c r="O36" s="802"/>
      <c r="P36" s="802"/>
      <c r="Q36" s="803"/>
      <c r="R36" s="848"/>
      <c r="S36" s="777"/>
      <c r="T36" s="804"/>
      <c r="U36" s="782"/>
      <c r="V36" s="793"/>
      <c r="W36" s="849"/>
      <c r="X36" s="739"/>
      <c r="Y36" s="740"/>
      <c r="Z36" s="752">
        <f>Y36-V36</f>
        <v>0</v>
      </c>
      <c r="AA36" s="800">
        <f>O36*100/(780000*28)</f>
        <v>0</v>
      </c>
      <c r="AB36" s="728"/>
      <c r="AC36" s="731"/>
    </row>
    <row r="37" spans="1:29" ht="15">
      <c r="A37" s="1272">
        <v>12</v>
      </c>
      <c r="B37" s="1273" t="s">
        <v>1892</v>
      </c>
      <c r="C37" s="732" t="s">
        <v>1189</v>
      </c>
      <c r="D37" s="733"/>
      <c r="E37" s="733"/>
      <c r="F37" s="733"/>
      <c r="G37" s="733"/>
      <c r="H37" s="801"/>
      <c r="I37" s="733"/>
      <c r="J37" s="733"/>
      <c r="K37" s="733"/>
      <c r="L37" s="734">
        <f>SUM(J37+K37)</f>
        <v>0</v>
      </c>
      <c r="M37" s="735">
        <f>D37*J37+E37*K37</f>
        <v>0</v>
      </c>
      <c r="N37" s="735"/>
      <c r="O37" s="736"/>
      <c r="P37" s="736"/>
      <c r="Q37" s="736"/>
      <c r="R37" s="848"/>
      <c r="S37" s="777"/>
      <c r="T37" s="711"/>
      <c r="U37" s="782"/>
      <c r="V37" s="730"/>
      <c r="W37" s="849"/>
      <c r="X37" s="739"/>
      <c r="Y37" s="740"/>
      <c r="Z37" s="740">
        <f>Y37-V37</f>
        <v>0</v>
      </c>
      <c r="AA37" s="800">
        <f>O37*100/(780000*30)</f>
        <v>0</v>
      </c>
      <c r="AB37" s="728"/>
      <c r="AC37" s="731"/>
    </row>
    <row r="38" spans="1:29" ht="15">
      <c r="A38" s="1275"/>
      <c r="B38" s="1276"/>
      <c r="C38" s="805" t="s">
        <v>1188</v>
      </c>
      <c r="D38" s="806"/>
      <c r="E38" s="806"/>
      <c r="F38" s="806"/>
      <c r="G38" s="806"/>
      <c r="H38" s="850"/>
      <c r="I38" s="806"/>
      <c r="J38" s="806"/>
      <c r="K38" s="806"/>
      <c r="L38" s="734">
        <f>SUM(J38+K38)</f>
        <v>0</v>
      </c>
      <c r="M38" s="735">
        <f>D38*J38+E38*K38</f>
        <v>0</v>
      </c>
      <c r="N38" s="807"/>
      <c r="O38" s="802"/>
      <c r="P38" s="802"/>
      <c r="Q38" s="736"/>
      <c r="R38" s="848"/>
      <c r="S38" s="777"/>
      <c r="T38" s="711"/>
      <c r="U38" s="782"/>
      <c r="V38" s="757"/>
      <c r="W38" s="849"/>
      <c r="X38" s="739"/>
      <c r="Y38" s="740"/>
      <c r="Z38" s="740">
        <f>Y38-V38</f>
        <v>0</v>
      </c>
      <c r="AA38" s="800">
        <f>O38*100/(780000*30)</f>
        <v>0</v>
      </c>
      <c r="AB38" s="728"/>
      <c r="AC38" s="731"/>
    </row>
    <row r="39" spans="1:29" ht="15">
      <c r="A39" s="713"/>
      <c r="B39" s="794"/>
      <c r="C39" s="732" t="s">
        <v>1187</v>
      </c>
      <c r="D39" s="733"/>
      <c r="E39" s="733"/>
      <c r="F39" s="733"/>
      <c r="G39" s="733"/>
      <c r="H39" s="801"/>
      <c r="I39" s="733"/>
      <c r="J39" s="733"/>
      <c r="K39" s="733"/>
      <c r="L39" s="734">
        <f>SUM(L37:L38)</f>
        <v>0</v>
      </c>
      <c r="M39" s="734">
        <f>SUM(M37:M38)</f>
        <v>0</v>
      </c>
      <c r="N39" s="735"/>
      <c r="O39" s="731"/>
      <c r="P39" s="731"/>
      <c r="Q39" s="851"/>
      <c r="R39" s="848"/>
      <c r="S39" s="777"/>
      <c r="T39" s="728"/>
      <c r="U39" s="782"/>
      <c r="V39" s="793"/>
      <c r="W39" s="849"/>
      <c r="X39" s="739"/>
      <c r="Y39" s="740"/>
      <c r="Z39" s="752">
        <f>Y39-V39</f>
        <v>0</v>
      </c>
      <c r="AA39" s="800">
        <f>O39*100/(780000*31)</f>
        <v>0</v>
      </c>
      <c r="AB39" s="728"/>
      <c r="AC39" s="731"/>
    </row>
    <row r="40" spans="1:29" ht="15">
      <c r="A40" s="808"/>
      <c r="B40" s="809"/>
      <c r="C40" s="810"/>
      <c r="D40" s="811"/>
      <c r="E40" s="811"/>
      <c r="F40" s="811"/>
      <c r="G40" s="811"/>
      <c r="H40" s="812"/>
      <c r="I40" s="811"/>
      <c r="J40" s="811"/>
      <c r="K40" s="811"/>
      <c r="L40" s="811"/>
      <c r="M40" s="813"/>
      <c r="N40" s="813"/>
      <c r="O40" s="804"/>
      <c r="P40" s="804"/>
      <c r="Q40" s="814"/>
      <c r="R40" s="711"/>
      <c r="S40" s="711"/>
      <c r="T40" s="711"/>
      <c r="U40" s="711"/>
      <c r="V40" s="711"/>
      <c r="W40" s="711"/>
      <c r="X40" s="815"/>
      <c r="Y40" s="816"/>
      <c r="Z40" s="817">
        <f>SUM(Z6,Z9,Z12,Z15,Z18,Z21,Z24,Z27,Z30,Z33,Z36,Z39)</f>
        <v>-37613622.76199999</v>
      </c>
      <c r="AA40" s="816"/>
      <c r="AB40" s="816">
        <f>SUM(AB5:AB39)</f>
        <v>183</v>
      </c>
      <c r="AC40" s="816">
        <f>SUM(AC6:AC39)</f>
        <v>388504957</v>
      </c>
    </row>
    <row r="41" spans="1:29" ht="15">
      <c r="A41" s="808"/>
      <c r="B41" s="809"/>
      <c r="C41" s="711"/>
      <c r="D41" s="711"/>
      <c r="E41" s="711"/>
      <c r="F41" s="711"/>
      <c r="G41" s="711"/>
      <c r="H41" s="711"/>
      <c r="I41" s="711"/>
      <c r="J41" s="711"/>
      <c r="K41" s="711"/>
      <c r="L41" s="711"/>
      <c r="M41" s="711"/>
      <c r="N41" s="711"/>
      <c r="O41" s="818">
        <f>SUM(O6,O9,O12,O15,O18,O21,O24,O27,O30,O33,O36,O39)</f>
        <v>101733530</v>
      </c>
      <c r="P41" s="818">
        <f>SUM(P6,P9,P12,P15,P18,P21,P24,P27,P30,P33,P36,P39)</f>
        <v>6381456.200000001</v>
      </c>
      <c r="Q41" s="818">
        <f>SUM(Q6,Q9,Q12,Q15,Q18,Q21,Q24,Q27,Q30,Q33,Q36,Q39)</f>
        <v>95352073.79999998</v>
      </c>
      <c r="R41" s="819">
        <f>(P41/O41)*100</f>
        <v>6.272716772926292</v>
      </c>
      <c r="S41" s="711"/>
      <c r="T41" s="711"/>
      <c r="U41" s="711"/>
      <c r="V41" s="711">
        <f>SUM(V6,V9,V12,V15,V18,V21,V24,V27,V30,V33,V36,V39)</f>
        <v>312081419</v>
      </c>
      <c r="W41" s="711"/>
      <c r="X41" s="711"/>
      <c r="Y41" s="816">
        <f>SUM(Y6,Y9,Y12,Y15,Y18,Y21,Y24,Y27,Y30,Y33,Y36,Y39)</f>
        <v>274467796.23800004</v>
      </c>
      <c r="Z41" s="820">
        <f>Z40/10000000</f>
        <v>-3.7613622761999985</v>
      </c>
      <c r="AA41" s="816"/>
      <c r="AB41" s="816"/>
      <c r="AC41" s="817">
        <f>AC40/10000000</f>
        <v>38.8504957</v>
      </c>
    </row>
    <row r="42" spans="1:29" ht="15">
      <c r="A42" s="711"/>
      <c r="B42" s="711"/>
      <c r="C42" s="711"/>
      <c r="D42" s="711"/>
      <c r="E42" s="711"/>
      <c r="F42" s="711"/>
      <c r="G42" s="711"/>
      <c r="H42" s="711"/>
      <c r="I42" s="711"/>
      <c r="J42" s="711"/>
      <c r="K42" s="711"/>
      <c r="L42" s="818">
        <f>SUM(L6,L9,L12,L15,L18,L21,L24,L27,L30,L33,L36,L39)</f>
        <v>29829084</v>
      </c>
      <c r="M42" s="818">
        <f>SUM(M6,M9,M12,M15,M18,M21,M24,M27,M30,M33,M36,M39)</f>
        <v>301745505421.95</v>
      </c>
      <c r="N42" s="711"/>
      <c r="O42" s="817">
        <f>O41/1000000</f>
        <v>101.73353</v>
      </c>
      <c r="P42" s="817">
        <f>P41/1000000</f>
        <v>6.3814562000000015</v>
      </c>
      <c r="Q42" s="817">
        <f>Q41/1000000</f>
        <v>95.35207379999999</v>
      </c>
      <c r="R42" s="711"/>
      <c r="S42" s="711"/>
      <c r="T42" s="711"/>
      <c r="U42" s="711"/>
      <c r="V42" s="817">
        <f>V41/10000000</f>
        <v>31.2081419</v>
      </c>
      <c r="W42" s="711"/>
      <c r="X42" s="711"/>
      <c r="Y42" s="817">
        <f>Y41/10000000</f>
        <v>27.446779623800005</v>
      </c>
      <c r="Z42" s="816"/>
      <c r="AA42" s="816"/>
      <c r="AB42" s="816"/>
      <c r="AC42" s="816"/>
    </row>
    <row r="43" spans="1:29" ht="15">
      <c r="A43" s="711"/>
      <c r="B43" s="711"/>
      <c r="C43" s="711"/>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row>
    <row r="44" spans="1:29" ht="15">
      <c r="A44" s="1271" t="s">
        <v>1186</v>
      </c>
      <c r="B44" s="1271"/>
      <c r="C44" s="1271"/>
      <c r="D44" s="1271"/>
      <c r="E44" s="1271"/>
      <c r="F44" s="1271"/>
      <c r="G44" s="1271"/>
      <c r="H44" s="1271"/>
      <c r="I44" s="1271"/>
      <c r="J44" s="1271"/>
      <c r="K44" s="711" t="s">
        <v>1185</v>
      </c>
      <c r="L44" s="711"/>
      <c r="M44" s="821">
        <f>M42/L42</f>
        <v>10115.81533720412</v>
      </c>
      <c r="N44" s="711"/>
      <c r="O44" s="711" t="s">
        <v>1184</v>
      </c>
      <c r="P44" s="711"/>
      <c r="Q44" s="711"/>
      <c r="R44" s="711"/>
      <c r="S44" s="711"/>
      <c r="T44" s="711"/>
      <c r="U44" s="711" t="s">
        <v>1183</v>
      </c>
      <c r="V44" s="819">
        <f>(O41*100)/(780000*AB40)</f>
        <v>71.27191396945496</v>
      </c>
      <c r="W44" s="711"/>
      <c r="X44" s="711"/>
      <c r="Y44" s="711"/>
      <c r="Z44" s="711">
        <f>Q15*X15</f>
        <v>57194415.586</v>
      </c>
      <c r="AA44" s="711"/>
      <c r="AB44" s="711"/>
      <c r="AC44" s="711"/>
    </row>
    <row r="45" spans="1:29" ht="15">
      <c r="A45" s="711"/>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f>19928367.8*2.87</f>
        <v>57194415.586</v>
      </c>
      <c r="AA45" s="711"/>
      <c r="AB45" s="711"/>
      <c r="AC45" s="711"/>
    </row>
    <row r="46" spans="1:29" ht="15">
      <c r="A46" s="1271" t="s">
        <v>1182</v>
      </c>
      <c r="B46" s="1271"/>
      <c r="C46" s="1271"/>
      <c r="D46" s="1271"/>
      <c r="E46" s="815">
        <f>ROUND((L42*M44)/O41,2)</f>
        <v>2966.04</v>
      </c>
      <c r="F46" s="815"/>
      <c r="G46" s="821">
        <f>(L42*M44)/O41</f>
        <v>2966.0378974557357</v>
      </c>
      <c r="H46" s="711"/>
      <c r="I46" s="711"/>
      <c r="J46" s="711" t="s">
        <v>1181</v>
      </c>
      <c r="K46" s="711"/>
      <c r="L46" s="711"/>
      <c r="M46" s="711"/>
      <c r="N46" s="711"/>
      <c r="O46" s="711"/>
      <c r="P46" s="711"/>
      <c r="Q46" s="711"/>
      <c r="R46" s="711"/>
      <c r="S46" s="711"/>
      <c r="T46" s="711"/>
      <c r="U46" s="711"/>
      <c r="V46" s="711"/>
      <c r="W46" s="711"/>
      <c r="X46" s="711"/>
      <c r="Y46" s="711"/>
      <c r="Z46" s="711"/>
      <c r="AA46" s="711"/>
      <c r="AB46" s="711"/>
      <c r="AC46" s="711"/>
    </row>
    <row r="47" spans="1:29" ht="15">
      <c r="A47" s="711"/>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row>
    <row r="48" spans="1:29" ht="15">
      <c r="A48" s="711" t="s">
        <v>1180</v>
      </c>
      <c r="B48" s="711"/>
      <c r="C48" s="711"/>
      <c r="D48" s="711"/>
      <c r="E48" s="711"/>
      <c r="F48" s="711"/>
      <c r="G48" s="711"/>
      <c r="H48" s="711"/>
      <c r="I48" s="711" t="s">
        <v>1179</v>
      </c>
      <c r="J48" s="711"/>
      <c r="K48" s="711"/>
      <c r="L48" s="711"/>
      <c r="M48" s="711"/>
      <c r="N48" s="711"/>
      <c r="O48" s="711"/>
      <c r="P48" s="711"/>
      <c r="Q48" s="711"/>
      <c r="R48" s="711"/>
      <c r="S48" s="711"/>
      <c r="T48" s="711"/>
      <c r="U48" s="711"/>
      <c r="V48" s="711"/>
      <c r="W48" s="711"/>
      <c r="X48" s="711"/>
      <c r="Y48" s="711"/>
      <c r="Z48" s="711"/>
      <c r="AA48" s="711"/>
      <c r="AB48" s="711"/>
      <c r="AC48" s="711"/>
    </row>
    <row r="49" spans="1:29" ht="15">
      <c r="A49" s="711"/>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row>
    <row r="50" spans="1:29" ht="15">
      <c r="A50" s="711"/>
      <c r="B50" s="711" t="s">
        <v>1177</v>
      </c>
      <c r="C50" s="823">
        <f>V41/L42</f>
        <v>10.46231989557574</v>
      </c>
      <c r="D50" s="711">
        <f>V41*1000/L42</f>
        <v>10462.319895575742</v>
      </c>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row>
    <row r="51" spans="1:29" ht="15">
      <c r="A51" s="711"/>
      <c r="B51" s="711"/>
      <c r="C51" s="826"/>
      <c r="D51" s="711"/>
      <c r="E51" s="711"/>
      <c r="F51" s="711"/>
      <c r="G51" s="827"/>
      <c r="H51" s="828"/>
      <c r="I51" s="727"/>
      <c r="J51" s="711"/>
      <c r="K51" s="711"/>
      <c r="L51" s="711"/>
      <c r="M51" s="711"/>
      <c r="N51" s="711"/>
      <c r="O51" s="711"/>
      <c r="P51" s="711"/>
      <c r="Q51" s="711"/>
      <c r="R51" s="711"/>
      <c r="S51" s="711"/>
      <c r="T51" s="711"/>
      <c r="U51" s="711"/>
      <c r="V51" s="711"/>
      <c r="W51" s="711"/>
      <c r="X51" s="711"/>
      <c r="Y51" s="711"/>
      <c r="Z51" s="711"/>
      <c r="AA51" s="711"/>
      <c r="AB51" s="711"/>
      <c r="AC51" s="711"/>
    </row>
  </sheetData>
  <sheetProtection password="CAB7" sheet="1"/>
  <mergeCells count="38">
    <mergeCell ref="A1:Z1"/>
    <mergeCell ref="D2:G2"/>
    <mergeCell ref="H2:I2"/>
    <mergeCell ref="J2:L2"/>
    <mergeCell ref="A4:A6"/>
    <mergeCell ref="B4:B6"/>
    <mergeCell ref="A7:A8"/>
    <mergeCell ref="B7:B8"/>
    <mergeCell ref="T7:T8"/>
    <mergeCell ref="A10:A11"/>
    <mergeCell ref="B10:B11"/>
    <mergeCell ref="T10:T11"/>
    <mergeCell ref="A13:A14"/>
    <mergeCell ref="B13:B14"/>
    <mergeCell ref="T13:T14"/>
    <mergeCell ref="A16:A17"/>
    <mergeCell ref="B16:B17"/>
    <mergeCell ref="T16:T17"/>
    <mergeCell ref="A19:A20"/>
    <mergeCell ref="B19:B20"/>
    <mergeCell ref="T19:T20"/>
    <mergeCell ref="A23:A24"/>
    <mergeCell ref="B23:B24"/>
    <mergeCell ref="T23:T24"/>
    <mergeCell ref="B26:B27"/>
    <mergeCell ref="A28:A29"/>
    <mergeCell ref="B28:B29"/>
    <mergeCell ref="T28:T29"/>
    <mergeCell ref="A31:A32"/>
    <mergeCell ref="B31:B32"/>
    <mergeCell ref="T31:T32"/>
    <mergeCell ref="A46:D46"/>
    <mergeCell ref="A34:A35"/>
    <mergeCell ref="B34:B35"/>
    <mergeCell ref="T34:T35"/>
    <mergeCell ref="A37:A38"/>
    <mergeCell ref="B37:B38"/>
    <mergeCell ref="A44:J4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C51"/>
  <sheetViews>
    <sheetView zoomScalePageLayoutView="0" workbookViewId="0" topLeftCell="A16">
      <selection activeCell="I38" sqref="I38:I39"/>
    </sheetView>
  </sheetViews>
  <sheetFormatPr defaultColWidth="9.33203125" defaultRowHeight="12.75"/>
  <cols>
    <col min="1" max="1" width="4.5" style="90" customWidth="1"/>
    <col min="2" max="2" width="9.83203125" style="90" customWidth="1"/>
    <col min="3" max="3" width="12.33203125" style="90" customWidth="1"/>
    <col min="4" max="4" width="11.83203125" style="90" customWidth="1"/>
    <col min="5" max="5" width="12.33203125" style="90" customWidth="1"/>
    <col min="6" max="6" width="10.83203125" style="90" customWidth="1"/>
    <col min="7" max="7" width="11.66015625" style="90" customWidth="1"/>
    <col min="8" max="8" width="8.83203125" style="90" customWidth="1"/>
    <col min="9" max="9" width="11.66015625" style="90" customWidth="1"/>
    <col min="10" max="10" width="9.33203125" style="90" customWidth="1"/>
    <col min="11" max="11" width="9.16015625" style="90" customWidth="1"/>
    <col min="12" max="12" width="9.33203125" style="90" customWidth="1"/>
    <col min="13" max="13" width="15.66015625" style="90" customWidth="1"/>
    <col min="14" max="14" width="13.83203125" style="90" hidden="1" customWidth="1"/>
    <col min="15" max="15" width="13.5" style="90" customWidth="1"/>
    <col min="16" max="16" width="12.66015625" style="90" customWidth="1"/>
    <col min="17" max="17" width="14.6601562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4" style="90" customWidth="1"/>
    <col min="26" max="26" width="16.66015625" style="90" customWidth="1"/>
    <col min="27" max="28" width="8.66015625" style="90" customWidth="1"/>
    <col min="29" max="29" width="13.66015625" style="90" customWidth="1"/>
    <col min="30" max="16384" width="9.33203125" style="90" customWidth="1"/>
  </cols>
  <sheetData>
    <row r="1" spans="1:29" ht="21">
      <c r="A1" s="1283" t="s">
        <v>1762</v>
      </c>
      <c r="B1" s="1283"/>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711"/>
      <c r="AB1" s="711"/>
      <c r="AC1" s="711"/>
    </row>
    <row r="2" spans="1:29" ht="60">
      <c r="A2" s="712" t="s">
        <v>1230</v>
      </c>
      <c r="B2" s="713" t="s">
        <v>1229</v>
      </c>
      <c r="C2" s="714"/>
      <c r="D2" s="1284" t="s">
        <v>1228</v>
      </c>
      <c r="E2" s="1285"/>
      <c r="F2" s="1285"/>
      <c r="G2" s="1286"/>
      <c r="H2" s="1284"/>
      <c r="I2" s="1286"/>
      <c r="J2" s="1287" t="s">
        <v>1227</v>
      </c>
      <c r="K2" s="1288"/>
      <c r="L2" s="1289"/>
      <c r="M2" s="715" t="s">
        <v>1226</v>
      </c>
      <c r="N2" s="715" t="s">
        <v>1225</v>
      </c>
      <c r="O2" s="716" t="s">
        <v>1224</v>
      </c>
      <c r="P2" s="716" t="s">
        <v>1223</v>
      </c>
      <c r="Q2" s="717" t="s">
        <v>1222</v>
      </c>
      <c r="R2" s="718" t="s">
        <v>1221</v>
      </c>
      <c r="S2" s="718" t="s">
        <v>1220</v>
      </c>
      <c r="T2" s="719" t="s">
        <v>1219</v>
      </c>
      <c r="U2" s="720" t="s">
        <v>1218</v>
      </c>
      <c r="V2" s="720" t="s">
        <v>1217</v>
      </c>
      <c r="W2" s="721" t="s">
        <v>1216</v>
      </c>
      <c r="X2" s="721" t="s">
        <v>1215</v>
      </c>
      <c r="Y2" s="721" t="s">
        <v>1214</v>
      </c>
      <c r="Z2" s="720" t="s">
        <v>1213</v>
      </c>
      <c r="AA2" s="721" t="s">
        <v>1212</v>
      </c>
      <c r="AB2" s="721" t="s">
        <v>1211</v>
      </c>
      <c r="AC2" s="722" t="s">
        <v>1763</v>
      </c>
    </row>
    <row r="3" spans="1:29" ht="45">
      <c r="A3" s="723"/>
      <c r="B3" s="723"/>
      <c r="C3" s="723"/>
      <c r="D3" s="724" t="s">
        <v>1203</v>
      </c>
      <c r="E3" s="724" t="s">
        <v>1208</v>
      </c>
      <c r="F3" s="724" t="s">
        <v>1207</v>
      </c>
      <c r="G3" s="725" t="s">
        <v>1206</v>
      </c>
      <c r="H3" s="724" t="s">
        <v>1205</v>
      </c>
      <c r="I3" s="725" t="s">
        <v>1204</v>
      </c>
      <c r="J3" s="724" t="s">
        <v>1203</v>
      </c>
      <c r="K3" s="724" t="s">
        <v>1202</v>
      </c>
      <c r="L3" s="724"/>
      <c r="M3" s="720"/>
      <c r="N3" s="720"/>
      <c r="O3" s="726"/>
      <c r="P3" s="727"/>
      <c r="Q3" s="728"/>
      <c r="R3" s="728"/>
      <c r="S3" s="728"/>
      <c r="T3" s="729"/>
      <c r="U3" s="730"/>
      <c r="V3" s="730"/>
      <c r="W3" s="730"/>
      <c r="X3" s="728"/>
      <c r="Y3" s="728"/>
      <c r="Z3" s="728"/>
      <c r="AA3" s="728"/>
      <c r="AB3" s="731"/>
      <c r="AC3" s="731"/>
    </row>
    <row r="4" spans="1:29" ht="15">
      <c r="A4" s="1275">
        <v>1</v>
      </c>
      <c r="B4" s="1276" t="s">
        <v>1865</v>
      </c>
      <c r="C4" s="732" t="s">
        <v>1189</v>
      </c>
      <c r="D4" s="733">
        <v>10129.205</v>
      </c>
      <c r="E4" s="733">
        <v>10130.369</v>
      </c>
      <c r="F4" s="734">
        <f aca="true" t="shared" si="0" ref="F4:F39">ROUND((2646*W4*100)/(U4*(100-R4)),2)</f>
        <v>2.48</v>
      </c>
      <c r="G4" s="734">
        <f aca="true" t="shared" si="1" ref="G4:G39">(Q4*F4)-Y4</f>
        <v>297029.04599999636</v>
      </c>
      <c r="H4" s="734">
        <f aca="true" t="shared" si="2" ref="H4:H39">ROUND((S4*W4*100)/(U4*95),2)</f>
        <v>2.45</v>
      </c>
      <c r="I4" s="734">
        <f aca="true" t="shared" si="3" ref="I4:I39">(Q4*H4)-Y4</f>
        <v>0</v>
      </c>
      <c r="J4" s="733">
        <v>2743850</v>
      </c>
      <c r="K4" s="734">
        <v>10239</v>
      </c>
      <c r="L4" s="734">
        <f>J4+K4</f>
        <v>2754089</v>
      </c>
      <c r="M4" s="735">
        <f>D4*J4+E4*K4</f>
        <v>27896743987.441</v>
      </c>
      <c r="N4" s="735">
        <f>H4*J4+I4*K4</f>
        <v>6722432.500000001</v>
      </c>
      <c r="O4" s="736">
        <v>10542280</v>
      </c>
      <c r="P4" s="736">
        <v>641311.8</v>
      </c>
      <c r="Q4" s="736">
        <f>O4-P4</f>
        <v>9900968.2</v>
      </c>
      <c r="R4" s="737">
        <f aca="true" t="shared" si="4" ref="R4:R39">P4*100/O4</f>
        <v>6.083236263882197</v>
      </c>
      <c r="S4" s="737">
        <f aca="true" t="shared" si="5" ref="S4:S39">ROUND((M4)/O4,2)</f>
        <v>2646.18</v>
      </c>
      <c r="T4" s="738"/>
      <c r="U4" s="739">
        <f aca="true" t="shared" si="6" ref="U4:U39">M4/L4</f>
        <v>10129.209327454922</v>
      </c>
      <c r="V4" s="740">
        <v>24514832</v>
      </c>
      <c r="W4" s="741">
        <f aca="true" t="shared" si="7" ref="W4:W39">ROUND(V4/L4,3)</f>
        <v>8.901</v>
      </c>
      <c r="X4" s="739">
        <f aca="true" t="shared" si="8" ref="X4:X39">ROUND((2646*W4*100)/(U4*95),2)</f>
        <v>2.45</v>
      </c>
      <c r="Y4" s="742">
        <f aca="true" t="shared" si="9" ref="Y4:Y39">X4*Q4</f>
        <v>24257372.09</v>
      </c>
      <c r="Z4" s="743">
        <f aca="true" t="shared" si="10" ref="Z4:Z39">Y4-V4</f>
        <v>-257459.91000000015</v>
      </c>
      <c r="AA4" s="728"/>
      <c r="AB4" s="731"/>
      <c r="AC4" s="731"/>
    </row>
    <row r="5" spans="1:29" ht="15">
      <c r="A5" s="1290"/>
      <c r="B5" s="1291"/>
      <c r="C5" s="732" t="s">
        <v>1188</v>
      </c>
      <c r="D5" s="733">
        <v>10089.042</v>
      </c>
      <c r="E5" s="733">
        <v>10052.527</v>
      </c>
      <c r="F5" s="734">
        <f t="shared" si="0"/>
        <v>2.48</v>
      </c>
      <c r="G5" s="734">
        <f t="shared" si="1"/>
        <v>290568.5639999993</v>
      </c>
      <c r="H5" s="734">
        <f t="shared" si="2"/>
        <v>2.45</v>
      </c>
      <c r="I5" s="734">
        <f t="shared" si="3"/>
        <v>0</v>
      </c>
      <c r="J5" s="733">
        <v>2697251</v>
      </c>
      <c r="K5" s="734">
        <v>10419</v>
      </c>
      <c r="L5" s="734">
        <f>J5+K5</f>
        <v>2707670</v>
      </c>
      <c r="M5" s="735">
        <f>D5*J5+E5*K5</f>
        <v>27317415902.355</v>
      </c>
      <c r="N5" s="735">
        <f>H5*L5</f>
        <v>6633791.500000001</v>
      </c>
      <c r="O5" s="744">
        <v>10324610</v>
      </c>
      <c r="P5" s="744">
        <v>638991.2</v>
      </c>
      <c r="Q5" s="736">
        <f>O5-P5</f>
        <v>9685618.8</v>
      </c>
      <c r="R5" s="737">
        <f t="shared" si="4"/>
        <v>6.189010529211272</v>
      </c>
      <c r="S5" s="737">
        <f t="shared" si="5"/>
        <v>2645.85</v>
      </c>
      <c r="T5" s="745"/>
      <c r="U5" s="739">
        <f t="shared" si="6"/>
        <v>10088.901491819535</v>
      </c>
      <c r="V5" s="730">
        <v>24005670</v>
      </c>
      <c r="W5" s="741">
        <f t="shared" si="7"/>
        <v>8.866</v>
      </c>
      <c r="X5" s="739">
        <f t="shared" si="8"/>
        <v>2.45</v>
      </c>
      <c r="Y5" s="742">
        <f t="shared" si="9"/>
        <v>23729766.060000002</v>
      </c>
      <c r="Z5" s="743">
        <f t="shared" si="10"/>
        <v>-275903.9399999976</v>
      </c>
      <c r="AA5" s="728"/>
      <c r="AB5" s="731"/>
      <c r="AC5" s="731"/>
    </row>
    <row r="6" spans="1:29" ht="15">
      <c r="A6" s="1278"/>
      <c r="B6" s="1277"/>
      <c r="C6" s="732" t="s">
        <v>1187</v>
      </c>
      <c r="D6" s="733"/>
      <c r="E6" s="733"/>
      <c r="F6" s="734">
        <f t="shared" si="0"/>
        <v>2.59</v>
      </c>
      <c r="G6" s="734">
        <f t="shared" si="1"/>
        <v>587897.6099999994</v>
      </c>
      <c r="H6" s="734">
        <f t="shared" si="2"/>
        <v>2.56</v>
      </c>
      <c r="I6" s="734">
        <f t="shared" si="3"/>
        <v>0</v>
      </c>
      <c r="J6" s="733"/>
      <c r="K6" s="734"/>
      <c r="L6" s="746">
        <f>SUM(L4:L5)</f>
        <v>5461759</v>
      </c>
      <c r="M6" s="747">
        <f>SUM(M4:M5)</f>
        <v>55214159889.796005</v>
      </c>
      <c r="N6" s="735"/>
      <c r="O6" s="748">
        <v>20866890</v>
      </c>
      <c r="P6" s="748">
        <v>1270303</v>
      </c>
      <c r="Q6" s="749">
        <v>19596587</v>
      </c>
      <c r="R6" s="737">
        <f t="shared" si="4"/>
        <v>6.087648902160312</v>
      </c>
      <c r="S6" s="750">
        <f t="shared" si="5"/>
        <v>2646.02</v>
      </c>
      <c r="T6" s="751"/>
      <c r="U6" s="739">
        <f t="shared" si="6"/>
        <v>10109.226695977615</v>
      </c>
      <c r="V6" s="752">
        <f>48520502+2203334</f>
        <v>50723836</v>
      </c>
      <c r="W6" s="741">
        <f t="shared" si="7"/>
        <v>9.287</v>
      </c>
      <c r="X6" s="739">
        <f t="shared" si="8"/>
        <v>2.56</v>
      </c>
      <c r="Y6" s="740">
        <f t="shared" si="9"/>
        <v>50167262.72</v>
      </c>
      <c r="Z6" s="752">
        <f t="shared" si="10"/>
        <v>-556573.2800000012</v>
      </c>
      <c r="AA6" s="753">
        <f>O6*100/(780000*30)</f>
        <v>89.17474358974358</v>
      </c>
      <c r="AB6" s="731">
        <v>30</v>
      </c>
      <c r="AC6" s="731">
        <v>69578305</v>
      </c>
    </row>
    <row r="7" spans="1:29" ht="15">
      <c r="A7" s="1275">
        <v>2</v>
      </c>
      <c r="B7" s="1279" t="s">
        <v>1866</v>
      </c>
      <c r="C7" s="732" t="s">
        <v>1189</v>
      </c>
      <c r="D7" s="754">
        <v>10066.33</v>
      </c>
      <c r="E7" s="754">
        <v>10061.866</v>
      </c>
      <c r="F7" s="734">
        <f t="shared" si="0"/>
        <v>2.46</v>
      </c>
      <c r="G7" s="734">
        <f t="shared" si="1"/>
        <v>293125.5899999961</v>
      </c>
      <c r="H7" s="734">
        <f t="shared" si="2"/>
        <v>2.44</v>
      </c>
      <c r="I7" s="734">
        <f t="shared" si="3"/>
        <v>97708.52999999747</v>
      </c>
      <c r="J7" s="754">
        <v>2711027</v>
      </c>
      <c r="K7" s="755">
        <v>37975</v>
      </c>
      <c r="L7" s="756">
        <f>+J7+K7</f>
        <v>2749002</v>
      </c>
      <c r="M7" s="755">
        <f>D7*J7+E7*K7</f>
        <v>27672191782.26</v>
      </c>
      <c r="N7" s="755">
        <f>H7*L7</f>
        <v>6707564.88</v>
      </c>
      <c r="O7" s="757">
        <v>10412550</v>
      </c>
      <c r="P7" s="757">
        <v>641697</v>
      </c>
      <c r="Q7" s="757">
        <v>9770853</v>
      </c>
      <c r="R7" s="737">
        <f t="shared" si="4"/>
        <v>6.162726709595632</v>
      </c>
      <c r="S7" s="737">
        <f t="shared" si="5"/>
        <v>2657.58</v>
      </c>
      <c r="T7" s="1293"/>
      <c r="U7" s="739">
        <f t="shared" si="6"/>
        <v>10066.26833383897</v>
      </c>
      <c r="V7" s="730">
        <v>24129233</v>
      </c>
      <c r="W7" s="741">
        <f t="shared" si="7"/>
        <v>8.777</v>
      </c>
      <c r="X7" s="739">
        <f t="shared" si="8"/>
        <v>2.43</v>
      </c>
      <c r="Y7" s="742">
        <f t="shared" si="9"/>
        <v>23743172.790000003</v>
      </c>
      <c r="Z7" s="758">
        <f t="shared" si="10"/>
        <v>-386060.20999999717</v>
      </c>
      <c r="AA7" s="739"/>
      <c r="AB7" s="730"/>
      <c r="AC7" s="730"/>
    </row>
    <row r="8" spans="1:29" ht="15">
      <c r="A8" s="1278"/>
      <c r="B8" s="1280"/>
      <c r="C8" s="732" t="s">
        <v>1188</v>
      </c>
      <c r="D8" s="754">
        <v>10204.835</v>
      </c>
      <c r="E8" s="754">
        <v>10041.785</v>
      </c>
      <c r="F8" s="734">
        <f t="shared" si="0"/>
        <v>2.48</v>
      </c>
      <c r="G8" s="734">
        <f t="shared" si="1"/>
        <v>417451.38999999687</v>
      </c>
      <c r="H8" s="734">
        <f t="shared" si="2"/>
        <v>2.72</v>
      </c>
      <c r="I8" s="734">
        <f t="shared" si="3"/>
        <v>2421218.061999999</v>
      </c>
      <c r="J8" s="754">
        <v>2601603</v>
      </c>
      <c r="K8" s="754">
        <v>9209</v>
      </c>
      <c r="L8" s="756">
        <f>+J8+K8</f>
        <v>2610812</v>
      </c>
      <c r="M8" s="755">
        <f>D8*J8+E8*K8</f>
        <v>26641404148.569996</v>
      </c>
      <c r="N8" s="755">
        <f>H8*L8</f>
        <v>7101408.640000001</v>
      </c>
      <c r="O8" s="759">
        <v>8974900</v>
      </c>
      <c r="P8" s="759">
        <v>625872.2</v>
      </c>
      <c r="Q8" s="759">
        <v>8349027.8</v>
      </c>
      <c r="R8" s="737">
        <f t="shared" si="4"/>
        <v>6.973584106786705</v>
      </c>
      <c r="S8" s="737">
        <f t="shared" si="5"/>
        <v>2968.43</v>
      </c>
      <c r="T8" s="1294"/>
      <c r="U8" s="739">
        <f t="shared" si="6"/>
        <v>10204.25988105233</v>
      </c>
      <c r="V8" s="730">
        <v>23230625</v>
      </c>
      <c r="W8" s="741">
        <f t="shared" si="7"/>
        <v>8.898</v>
      </c>
      <c r="X8" s="739">
        <f t="shared" si="8"/>
        <v>2.43</v>
      </c>
      <c r="Y8" s="742">
        <f t="shared" si="9"/>
        <v>20288137.554</v>
      </c>
      <c r="Z8" s="758">
        <f t="shared" si="10"/>
        <v>-2942487.4459999986</v>
      </c>
      <c r="AA8" s="739"/>
      <c r="AB8" s="730"/>
      <c r="AC8" s="730"/>
    </row>
    <row r="9" spans="1:29" ht="15">
      <c r="A9" s="760"/>
      <c r="B9" s="761"/>
      <c r="C9" s="732" t="s">
        <v>1187</v>
      </c>
      <c r="D9" s="762"/>
      <c r="E9" s="762"/>
      <c r="F9" s="734">
        <f t="shared" si="0"/>
        <v>2.58</v>
      </c>
      <c r="G9" s="734">
        <f t="shared" si="1"/>
        <v>724795.2320000008</v>
      </c>
      <c r="H9" s="734">
        <f t="shared" si="2"/>
        <v>2.69</v>
      </c>
      <c r="I9" s="734">
        <f t="shared" si="3"/>
        <v>2717982.1199999973</v>
      </c>
      <c r="J9" s="762"/>
      <c r="K9" s="754"/>
      <c r="L9" s="756">
        <f>SUM(L7:L8)</f>
        <v>5359814</v>
      </c>
      <c r="M9" s="763">
        <f>SUM(M7:M8)</f>
        <v>54313595930.829994</v>
      </c>
      <c r="N9" s="755"/>
      <c r="O9" s="764">
        <v>19387450</v>
      </c>
      <c r="P9" s="764">
        <v>1267569.2</v>
      </c>
      <c r="Q9" s="765">
        <v>18119880.8</v>
      </c>
      <c r="R9" s="737">
        <f t="shared" si="4"/>
        <v>6.5380913941750975</v>
      </c>
      <c r="S9" s="750">
        <f t="shared" si="5"/>
        <v>2801.48</v>
      </c>
      <c r="T9" s="766"/>
      <c r="U9" s="739">
        <f t="shared" si="6"/>
        <v>10133.485216246308</v>
      </c>
      <c r="V9" s="752">
        <f>V7+V8+2203334</f>
        <v>49563192</v>
      </c>
      <c r="W9" s="741">
        <f t="shared" si="7"/>
        <v>9.247</v>
      </c>
      <c r="X9" s="739">
        <f t="shared" si="8"/>
        <v>2.54</v>
      </c>
      <c r="Y9" s="740">
        <f t="shared" si="9"/>
        <v>46024497.232</v>
      </c>
      <c r="Z9" s="752">
        <f t="shared" si="10"/>
        <v>-3538694.767999999</v>
      </c>
      <c r="AA9" s="767">
        <f>O9*100/(780000*31)</f>
        <v>80.17969396195203</v>
      </c>
      <c r="AB9" s="730">
        <v>31</v>
      </c>
      <c r="AC9" s="730">
        <v>61713727</v>
      </c>
    </row>
    <row r="10" spans="1:29" ht="15">
      <c r="A10" s="1275">
        <v>3</v>
      </c>
      <c r="B10" s="1279" t="s">
        <v>1867</v>
      </c>
      <c r="C10" s="732" t="s">
        <v>1189</v>
      </c>
      <c r="D10" s="768">
        <v>10460.872</v>
      </c>
      <c r="E10" s="768">
        <v>10232.908</v>
      </c>
      <c r="F10" s="734">
        <f t="shared" si="0"/>
        <v>2.59</v>
      </c>
      <c r="G10" s="734">
        <f t="shared" si="1"/>
        <v>293125.58999999985</v>
      </c>
      <c r="H10" s="734">
        <f t="shared" si="2"/>
        <v>2.57</v>
      </c>
      <c r="I10" s="734">
        <f t="shared" si="3"/>
        <v>97708.52999999747</v>
      </c>
      <c r="J10" s="768">
        <v>2635266</v>
      </c>
      <c r="K10" s="754">
        <v>9242</v>
      </c>
      <c r="L10" s="756">
        <f>+J10+K10</f>
        <v>2644508</v>
      </c>
      <c r="M10" s="755">
        <f>D10*J10+E10*K10</f>
        <v>27661752847.688</v>
      </c>
      <c r="N10" s="755">
        <f>H10*L10</f>
        <v>6796385.56</v>
      </c>
      <c r="O10" s="757">
        <v>10412550</v>
      </c>
      <c r="P10" s="757">
        <v>641697</v>
      </c>
      <c r="Q10" s="757">
        <v>9770853</v>
      </c>
      <c r="R10" s="737">
        <f t="shared" si="4"/>
        <v>6.162726709595632</v>
      </c>
      <c r="S10" s="737">
        <f t="shared" si="5"/>
        <v>2656.58</v>
      </c>
      <c r="T10" s="1293"/>
      <c r="U10" s="739">
        <f t="shared" si="6"/>
        <v>10460.075313702207</v>
      </c>
      <c r="V10" s="730">
        <v>25383657</v>
      </c>
      <c r="W10" s="741">
        <f t="shared" si="7"/>
        <v>9.599</v>
      </c>
      <c r="X10" s="739">
        <f t="shared" si="8"/>
        <v>2.56</v>
      </c>
      <c r="Y10" s="742">
        <f t="shared" si="9"/>
        <v>25013383.68</v>
      </c>
      <c r="Z10" s="758">
        <f t="shared" si="10"/>
        <v>-370273.3200000003</v>
      </c>
      <c r="AA10" s="739"/>
      <c r="AB10" s="730"/>
      <c r="AC10" s="730"/>
    </row>
    <row r="11" spans="1:29" ht="15">
      <c r="A11" s="1278"/>
      <c r="B11" s="1280"/>
      <c r="C11" s="732" t="s">
        <v>1188</v>
      </c>
      <c r="D11" s="768">
        <v>10031.689</v>
      </c>
      <c r="E11" s="768">
        <v>10035.111</v>
      </c>
      <c r="F11" s="734">
        <f t="shared" si="0"/>
        <v>2.59</v>
      </c>
      <c r="G11" s="734">
        <f t="shared" si="1"/>
        <v>290194.41000000015</v>
      </c>
      <c r="H11" s="734">
        <f t="shared" si="2"/>
        <v>2.68</v>
      </c>
      <c r="I11" s="734">
        <f t="shared" si="3"/>
        <v>1160777.6400000006</v>
      </c>
      <c r="J11" s="754">
        <v>2760000</v>
      </c>
      <c r="K11" s="754">
        <v>89742</v>
      </c>
      <c r="L11" s="756">
        <f>+J11+K11</f>
        <v>2849742</v>
      </c>
      <c r="M11" s="755">
        <f>D11*J11+E11*K11</f>
        <v>28588032571.362</v>
      </c>
      <c r="N11" s="755">
        <f>H11*L11</f>
        <v>7637308.5600000005</v>
      </c>
      <c r="O11" s="759">
        <v>10312920</v>
      </c>
      <c r="P11" s="759">
        <v>639773</v>
      </c>
      <c r="Q11" s="769">
        <v>9673147</v>
      </c>
      <c r="R11" s="737">
        <f t="shared" si="4"/>
        <v>6.203606737955885</v>
      </c>
      <c r="S11" s="737">
        <f t="shared" si="5"/>
        <v>2772.06</v>
      </c>
      <c r="T11" s="1294"/>
      <c r="U11" s="739">
        <f t="shared" si="6"/>
        <v>10031.79676313224</v>
      </c>
      <c r="V11" s="730">
        <v>26232974</v>
      </c>
      <c r="W11" s="741">
        <f t="shared" si="7"/>
        <v>9.205</v>
      </c>
      <c r="X11" s="739">
        <f t="shared" si="8"/>
        <v>2.56</v>
      </c>
      <c r="Y11" s="742">
        <f t="shared" si="9"/>
        <v>24763256.32</v>
      </c>
      <c r="Z11" s="758">
        <f t="shared" si="10"/>
        <v>-1469717.6799999997</v>
      </c>
      <c r="AA11" s="739"/>
      <c r="AB11" s="730"/>
      <c r="AC11" s="730"/>
    </row>
    <row r="12" spans="1:29" ht="15">
      <c r="A12" s="760"/>
      <c r="B12" s="761"/>
      <c r="C12" s="732" t="s">
        <v>1187</v>
      </c>
      <c r="D12" s="770"/>
      <c r="E12" s="770"/>
      <c r="F12" s="734">
        <f t="shared" si="0"/>
        <v>2.59</v>
      </c>
      <c r="G12" s="734">
        <f t="shared" si="1"/>
        <v>583320</v>
      </c>
      <c r="H12" s="734">
        <f t="shared" si="2"/>
        <v>2.62</v>
      </c>
      <c r="I12" s="734">
        <f t="shared" si="3"/>
        <v>1166640</v>
      </c>
      <c r="J12" s="754"/>
      <c r="K12" s="754"/>
      <c r="L12" s="756">
        <f>SUM(L10:L11)</f>
        <v>5494250</v>
      </c>
      <c r="M12" s="763">
        <f>SUM(M10:M11)</f>
        <v>56249785419.05</v>
      </c>
      <c r="N12" s="755">
        <f>H12*L12</f>
        <v>14394935</v>
      </c>
      <c r="O12" s="764">
        <v>20725470</v>
      </c>
      <c r="P12" s="764">
        <v>1281470</v>
      </c>
      <c r="Q12" s="765">
        <v>19444000</v>
      </c>
      <c r="R12" s="737">
        <f t="shared" si="4"/>
        <v>6.1830684659986</v>
      </c>
      <c r="S12" s="750">
        <f t="shared" si="5"/>
        <v>2714.04</v>
      </c>
      <c r="T12" s="771"/>
      <c r="U12" s="739">
        <f t="shared" si="6"/>
        <v>10237.93701033808</v>
      </c>
      <c r="V12" s="752">
        <f>SUM(V10+V11)</f>
        <v>51616631</v>
      </c>
      <c r="W12" s="741">
        <f t="shared" si="7"/>
        <v>9.395</v>
      </c>
      <c r="X12" s="739">
        <f t="shared" si="8"/>
        <v>2.56</v>
      </c>
      <c r="Y12" s="740">
        <f t="shared" si="9"/>
        <v>49776640</v>
      </c>
      <c r="Z12" s="752">
        <f t="shared" si="10"/>
        <v>-1839991</v>
      </c>
      <c r="AA12" s="767">
        <f>O12*100/(780000*30)</f>
        <v>88.57038461538461</v>
      </c>
      <c r="AB12" s="730">
        <v>30</v>
      </c>
      <c r="AC12" s="730">
        <v>65399497</v>
      </c>
    </row>
    <row r="13" spans="1:29" ht="15">
      <c r="A13" s="1275">
        <v>4</v>
      </c>
      <c r="B13" s="1276" t="s">
        <v>1868</v>
      </c>
      <c r="C13" s="732" t="s">
        <v>1189</v>
      </c>
      <c r="D13" s="754">
        <v>9991.569</v>
      </c>
      <c r="E13" s="754">
        <v>9997.071</v>
      </c>
      <c r="F13" s="762">
        <f t="shared" si="0"/>
        <v>2.6</v>
      </c>
      <c r="G13" s="734">
        <f t="shared" si="1"/>
        <v>289740</v>
      </c>
      <c r="H13" s="772">
        <f t="shared" si="2"/>
        <v>2.59</v>
      </c>
      <c r="I13" s="734">
        <f t="shared" si="3"/>
        <v>193160</v>
      </c>
      <c r="J13" s="754">
        <v>2698081</v>
      </c>
      <c r="K13" s="754">
        <v>51368</v>
      </c>
      <c r="L13" s="756">
        <f>+J13+K13</f>
        <v>2749449</v>
      </c>
      <c r="M13" s="755">
        <f>D13*J13+E13*K13</f>
        <v>27471592022.216995</v>
      </c>
      <c r="N13" s="755">
        <f>H13*L13</f>
        <v>7121072.909999999</v>
      </c>
      <c r="O13" s="757">
        <v>10294230</v>
      </c>
      <c r="P13" s="757">
        <v>636230</v>
      </c>
      <c r="Q13" s="759">
        <v>9658000</v>
      </c>
      <c r="R13" s="773">
        <f t="shared" si="4"/>
        <v>6.180452544775083</v>
      </c>
      <c r="S13" s="773">
        <f t="shared" si="5"/>
        <v>2668.64</v>
      </c>
      <c r="T13" s="1292"/>
      <c r="U13" s="739">
        <f t="shared" si="6"/>
        <v>9991.671793954714</v>
      </c>
      <c r="V13" s="730">
        <v>25341954</v>
      </c>
      <c r="W13" s="741">
        <f t="shared" si="7"/>
        <v>9.217</v>
      </c>
      <c r="X13" s="739">
        <f t="shared" si="8"/>
        <v>2.57</v>
      </c>
      <c r="Y13" s="742">
        <f t="shared" si="9"/>
        <v>24821060</v>
      </c>
      <c r="Z13" s="758">
        <f t="shared" si="10"/>
        <v>-520894</v>
      </c>
      <c r="AA13" s="739"/>
      <c r="AB13" s="730"/>
      <c r="AC13" s="730"/>
    </row>
    <row r="14" spans="1:29" ht="15">
      <c r="A14" s="1278"/>
      <c r="B14" s="1277"/>
      <c r="C14" s="732" t="s">
        <v>1188</v>
      </c>
      <c r="D14" s="774">
        <v>9999.624</v>
      </c>
      <c r="E14" s="774">
        <v>10000.956</v>
      </c>
      <c r="F14" s="762">
        <f t="shared" si="0"/>
        <v>2.59</v>
      </c>
      <c r="G14" s="734">
        <f t="shared" si="1"/>
        <v>213640</v>
      </c>
      <c r="H14" s="772">
        <f t="shared" si="2"/>
        <v>2.6</v>
      </c>
      <c r="I14" s="734">
        <f t="shared" si="3"/>
        <v>320460</v>
      </c>
      <c r="J14" s="754">
        <v>2936226</v>
      </c>
      <c r="K14" s="754">
        <v>103240</v>
      </c>
      <c r="L14" s="756">
        <f>+J14+K14</f>
        <v>3039466</v>
      </c>
      <c r="M14" s="755">
        <f>D14*J14+E14*K14</f>
        <v>30393654676.463997</v>
      </c>
      <c r="N14" s="755">
        <f>H14*L14</f>
        <v>7902611.600000001</v>
      </c>
      <c r="O14" s="759">
        <v>11356790</v>
      </c>
      <c r="P14" s="759">
        <v>674790</v>
      </c>
      <c r="Q14" s="759">
        <v>10682000</v>
      </c>
      <c r="R14" s="773">
        <f t="shared" si="4"/>
        <v>5.941731774559536</v>
      </c>
      <c r="S14" s="773">
        <f t="shared" si="5"/>
        <v>2676.25</v>
      </c>
      <c r="T14" s="1292"/>
      <c r="U14" s="739">
        <f t="shared" si="6"/>
        <v>9999.669243368406</v>
      </c>
      <c r="V14" s="730">
        <v>28037449</v>
      </c>
      <c r="W14" s="741">
        <f t="shared" si="7"/>
        <v>9.224</v>
      </c>
      <c r="X14" s="739">
        <f t="shared" si="8"/>
        <v>2.57</v>
      </c>
      <c r="Y14" s="730">
        <f t="shared" si="9"/>
        <v>27452740</v>
      </c>
      <c r="Z14" s="730">
        <f t="shared" si="10"/>
        <v>-584709</v>
      </c>
      <c r="AA14" s="739"/>
      <c r="AB14" s="730"/>
      <c r="AC14" s="730"/>
    </row>
    <row r="15" spans="1:29" ht="15">
      <c r="A15" s="760"/>
      <c r="B15" s="775"/>
      <c r="C15" s="732" t="s">
        <v>1187</v>
      </c>
      <c r="D15" s="774"/>
      <c r="E15" s="774"/>
      <c r="F15" s="762">
        <f t="shared" si="0"/>
        <v>2.6</v>
      </c>
      <c r="G15" s="734">
        <f t="shared" si="1"/>
        <v>610200</v>
      </c>
      <c r="H15" s="772">
        <f t="shared" si="2"/>
        <v>2.6</v>
      </c>
      <c r="I15" s="734">
        <f t="shared" si="3"/>
        <v>610200</v>
      </c>
      <c r="J15" s="754"/>
      <c r="K15" s="754"/>
      <c r="L15" s="756">
        <f>SUM(L13:L14)</f>
        <v>5788915</v>
      </c>
      <c r="M15" s="763">
        <f>SUM(M13:M14)</f>
        <v>57865246698.68099</v>
      </c>
      <c r="N15" s="755">
        <f>SUM(N13:N14)</f>
        <v>15023684.51</v>
      </c>
      <c r="O15" s="763">
        <v>21651020</v>
      </c>
      <c r="P15" s="776">
        <v>1311020</v>
      </c>
      <c r="Q15" s="777">
        <v>20340000</v>
      </c>
      <c r="R15" s="773">
        <f t="shared" si="4"/>
        <v>6.055234349236202</v>
      </c>
      <c r="S15" s="778">
        <f t="shared" si="5"/>
        <v>2672.63</v>
      </c>
      <c r="T15" s="779"/>
      <c r="U15" s="739">
        <f t="shared" si="6"/>
        <v>9995.870849490966</v>
      </c>
      <c r="V15" s="752">
        <f>V14+V13</f>
        <v>53379403</v>
      </c>
      <c r="W15" s="741">
        <f t="shared" si="7"/>
        <v>9.221</v>
      </c>
      <c r="X15" s="739">
        <f t="shared" si="8"/>
        <v>2.57</v>
      </c>
      <c r="Y15" s="780">
        <f t="shared" si="9"/>
        <v>52273800</v>
      </c>
      <c r="Z15" s="781">
        <f t="shared" si="10"/>
        <v>-1105603</v>
      </c>
      <c r="AA15" s="782">
        <f>O15*100/(780000*31)</f>
        <v>89.54102564102564</v>
      </c>
      <c r="AB15" s="730">
        <v>31</v>
      </c>
      <c r="AC15" s="730">
        <v>68947000</v>
      </c>
    </row>
    <row r="16" spans="1:29" ht="15">
      <c r="A16" s="1275">
        <v>5</v>
      </c>
      <c r="B16" s="1279" t="s">
        <v>1869</v>
      </c>
      <c r="C16" s="732" t="s">
        <v>1189</v>
      </c>
      <c r="D16" s="774">
        <v>10021.814</v>
      </c>
      <c r="E16" s="774">
        <v>10022.445</v>
      </c>
      <c r="F16" s="762">
        <f t="shared" si="0"/>
        <v>2.59</v>
      </c>
      <c r="G16" s="734">
        <f t="shared" si="1"/>
        <v>199991.78400000185</v>
      </c>
      <c r="H16" s="772">
        <f t="shared" si="2"/>
        <v>2.57</v>
      </c>
      <c r="I16" s="734">
        <f t="shared" si="3"/>
        <v>0</v>
      </c>
      <c r="J16" s="754">
        <v>2755179</v>
      </c>
      <c r="K16" s="755">
        <v>55696</v>
      </c>
      <c r="L16" s="756">
        <f>+J16+K16</f>
        <v>2810875</v>
      </c>
      <c r="M16" s="755">
        <f>D16*J16+E16*K16</f>
        <v>28170101571.426003</v>
      </c>
      <c r="N16" s="755">
        <f>G16*K16+H16*L16</f>
        <v>11145966350.414103</v>
      </c>
      <c r="O16" s="757">
        <v>10640740</v>
      </c>
      <c r="P16" s="757">
        <v>641150.8</v>
      </c>
      <c r="Q16" s="769">
        <v>9999589.2</v>
      </c>
      <c r="R16" s="773">
        <f t="shared" si="4"/>
        <v>6.025434321297204</v>
      </c>
      <c r="S16" s="773">
        <f t="shared" si="5"/>
        <v>2647.38</v>
      </c>
      <c r="T16" s="1293"/>
      <c r="U16" s="739">
        <f t="shared" si="6"/>
        <v>10021.826502930939</v>
      </c>
      <c r="V16" s="730">
        <v>25954384</v>
      </c>
      <c r="W16" s="741">
        <f t="shared" si="7"/>
        <v>9.234</v>
      </c>
      <c r="X16" s="739">
        <f t="shared" si="8"/>
        <v>2.57</v>
      </c>
      <c r="Y16" s="780">
        <f t="shared" si="9"/>
        <v>25698944.243999995</v>
      </c>
      <c r="Z16" s="730">
        <f t="shared" si="10"/>
        <v>-255439.7560000047</v>
      </c>
      <c r="AA16" s="739"/>
      <c r="AB16" s="730"/>
      <c r="AC16" s="730"/>
    </row>
    <row r="17" spans="1:29" ht="15">
      <c r="A17" s="1278"/>
      <c r="B17" s="1280"/>
      <c r="C17" s="732" t="s">
        <v>1188</v>
      </c>
      <c r="D17" s="754">
        <v>10005.93</v>
      </c>
      <c r="E17" s="754">
        <v>10004.925</v>
      </c>
      <c r="F17" s="762">
        <f t="shared" si="0"/>
        <v>2.59</v>
      </c>
      <c r="G17" s="734">
        <f t="shared" si="1"/>
        <v>214434.90399999917</v>
      </c>
      <c r="H17" s="772">
        <f t="shared" si="2"/>
        <v>2.55</v>
      </c>
      <c r="I17" s="734">
        <f t="shared" si="3"/>
        <v>-214434.90399999917</v>
      </c>
      <c r="J17" s="754">
        <v>2944000</v>
      </c>
      <c r="K17" s="754">
        <v>58835</v>
      </c>
      <c r="L17" s="756">
        <f>SUM(J17+K17)</f>
        <v>3002835</v>
      </c>
      <c r="M17" s="755">
        <f>D17*J17+E17*K17</f>
        <v>30046097682.375</v>
      </c>
      <c r="N17" s="755">
        <f>H17*L17</f>
        <v>7657229.249999999</v>
      </c>
      <c r="O17" s="759">
        <v>11406300</v>
      </c>
      <c r="P17" s="759">
        <v>684554.8</v>
      </c>
      <c r="Q17" s="769">
        <v>10721745.2</v>
      </c>
      <c r="R17" s="773">
        <f t="shared" si="4"/>
        <v>6.001550020602649</v>
      </c>
      <c r="S17" s="773">
        <f t="shared" si="5"/>
        <v>2634.17</v>
      </c>
      <c r="T17" s="1294"/>
      <c r="U17" s="739">
        <f t="shared" si="6"/>
        <v>10005.910308883105</v>
      </c>
      <c r="V17" s="730">
        <v>27682798</v>
      </c>
      <c r="W17" s="741">
        <f t="shared" si="7"/>
        <v>9.219</v>
      </c>
      <c r="X17" s="739">
        <f t="shared" si="8"/>
        <v>2.57</v>
      </c>
      <c r="Y17" s="780">
        <f t="shared" si="9"/>
        <v>27554885.163999997</v>
      </c>
      <c r="Z17" s="730">
        <f t="shared" si="10"/>
        <v>-127912.83600000292</v>
      </c>
      <c r="AA17" s="739"/>
      <c r="AB17" s="730"/>
      <c r="AC17" s="730"/>
    </row>
    <row r="18" spans="1:29" ht="15">
      <c r="A18" s="760"/>
      <c r="B18" s="761"/>
      <c r="C18" s="732" t="s">
        <v>1187</v>
      </c>
      <c r="D18" s="754"/>
      <c r="E18" s="754"/>
      <c r="F18" s="762">
        <f t="shared" si="0"/>
        <v>2.59</v>
      </c>
      <c r="G18" s="734">
        <f t="shared" si="1"/>
        <v>414426.688000001</v>
      </c>
      <c r="H18" s="772">
        <f t="shared" si="2"/>
        <v>2.56</v>
      </c>
      <c r="I18" s="734">
        <f t="shared" si="3"/>
        <v>-207213.34399999678</v>
      </c>
      <c r="J18" s="762"/>
      <c r="K18" s="754"/>
      <c r="L18" s="756">
        <f>SUM(L16:L17)</f>
        <v>5813710</v>
      </c>
      <c r="M18" s="783">
        <f>SUM(M16:M17)</f>
        <v>58216199253.801</v>
      </c>
      <c r="N18" s="784">
        <f>SUM(N16:N17)</f>
        <v>11153623579.664103</v>
      </c>
      <c r="O18" s="783">
        <v>22047040</v>
      </c>
      <c r="P18" s="785">
        <v>1325705.6</v>
      </c>
      <c r="Q18" s="765">
        <v>20721334.4</v>
      </c>
      <c r="R18" s="773">
        <f t="shared" si="4"/>
        <v>6.013077492488788</v>
      </c>
      <c r="S18" s="778">
        <f t="shared" si="5"/>
        <v>2640.54</v>
      </c>
      <c r="T18" s="771"/>
      <c r="U18" s="739">
        <f t="shared" si="6"/>
        <v>10013.605641458036</v>
      </c>
      <c r="V18" s="752">
        <f>V16+V17</f>
        <v>53637182</v>
      </c>
      <c r="W18" s="741">
        <f t="shared" si="7"/>
        <v>9.226</v>
      </c>
      <c r="X18" s="739">
        <f t="shared" si="8"/>
        <v>2.57</v>
      </c>
      <c r="Y18" s="780">
        <f t="shared" si="9"/>
        <v>53253829.40799999</v>
      </c>
      <c r="Z18" s="781">
        <f t="shared" si="10"/>
        <v>-383352.59200000763</v>
      </c>
      <c r="AA18" s="782">
        <f>O18*100/(780000*31)</f>
        <v>91.17882547559967</v>
      </c>
      <c r="AB18" s="730">
        <v>31</v>
      </c>
      <c r="AC18" s="730">
        <v>71659080</v>
      </c>
    </row>
    <row r="19" spans="1:29" ht="15">
      <c r="A19" s="1275">
        <v>6</v>
      </c>
      <c r="B19" s="1279" t="s">
        <v>1870</v>
      </c>
      <c r="C19" s="732" t="s">
        <v>1189</v>
      </c>
      <c r="D19" s="768">
        <v>9977.864</v>
      </c>
      <c r="E19" s="768">
        <v>9979.153</v>
      </c>
      <c r="F19" s="762">
        <f t="shared" si="0"/>
        <v>2.59</v>
      </c>
      <c r="G19" s="734">
        <f t="shared" si="1"/>
        <v>290220</v>
      </c>
      <c r="H19" s="772">
        <f t="shared" si="2"/>
        <v>2.61</v>
      </c>
      <c r="I19" s="734">
        <f t="shared" si="3"/>
        <v>483700</v>
      </c>
      <c r="J19" s="770">
        <v>2748458</v>
      </c>
      <c r="K19" s="754">
        <v>46365</v>
      </c>
      <c r="L19" s="756">
        <f>+J19+K19</f>
        <v>2794823</v>
      </c>
      <c r="M19" s="755">
        <f>D19*J19+E19*K19</f>
        <v>27886423562.557</v>
      </c>
      <c r="N19" s="755">
        <f>H19*L19</f>
        <v>7294488.029999999</v>
      </c>
      <c r="O19" s="757">
        <v>10307800</v>
      </c>
      <c r="P19" s="757">
        <v>633800</v>
      </c>
      <c r="Q19" s="759">
        <v>9674000</v>
      </c>
      <c r="R19" s="773">
        <f t="shared" si="4"/>
        <v>6.148741729564019</v>
      </c>
      <c r="S19" s="773">
        <f t="shared" si="5"/>
        <v>2705.37</v>
      </c>
      <c r="T19" s="1292"/>
      <c r="U19" s="739">
        <f t="shared" si="6"/>
        <v>9977.88538399641</v>
      </c>
      <c r="V19" s="730">
        <v>25600389</v>
      </c>
      <c r="W19" s="741">
        <f t="shared" si="7"/>
        <v>9.16</v>
      </c>
      <c r="X19" s="739">
        <f t="shared" si="8"/>
        <v>2.56</v>
      </c>
      <c r="Y19" s="780">
        <f t="shared" si="9"/>
        <v>24765440</v>
      </c>
      <c r="Z19" s="730">
        <f t="shared" si="10"/>
        <v>-834949</v>
      </c>
      <c r="AA19" s="739"/>
      <c r="AB19" s="730"/>
      <c r="AC19" s="730"/>
    </row>
    <row r="20" spans="1:29" ht="15">
      <c r="A20" s="1278"/>
      <c r="B20" s="1280"/>
      <c r="C20" s="732" t="s">
        <v>1188</v>
      </c>
      <c r="D20" s="770">
        <v>9943.718</v>
      </c>
      <c r="E20" s="770">
        <v>9944.903</v>
      </c>
      <c r="F20" s="762">
        <f t="shared" si="0"/>
        <v>2.59</v>
      </c>
      <c r="G20" s="734">
        <f t="shared" si="1"/>
        <v>209605.06799999624</v>
      </c>
      <c r="H20" s="772">
        <f t="shared" si="2"/>
        <v>2.51</v>
      </c>
      <c r="I20" s="734">
        <f t="shared" si="3"/>
        <v>-349341.7800000012</v>
      </c>
      <c r="J20" s="754">
        <v>1979270</v>
      </c>
      <c r="K20" s="754">
        <v>40779</v>
      </c>
      <c r="L20" s="756">
        <f>+J20+K20</f>
        <v>2020049</v>
      </c>
      <c r="M20" s="755">
        <f>D20*J20+E20*K20</f>
        <v>20086845925.297</v>
      </c>
      <c r="N20" s="755">
        <f>H20*L20</f>
        <v>5070322.989999999</v>
      </c>
      <c r="O20" s="759">
        <v>7745220</v>
      </c>
      <c r="P20" s="759">
        <v>485715.85</v>
      </c>
      <c r="Q20" s="107">
        <v>6986835.6</v>
      </c>
      <c r="R20" s="773">
        <f t="shared" si="4"/>
        <v>6.271169185639659</v>
      </c>
      <c r="S20" s="773">
        <f t="shared" si="5"/>
        <v>2593.45</v>
      </c>
      <c r="T20" s="1292"/>
      <c r="U20" s="739">
        <f t="shared" si="6"/>
        <v>9943.741921753879</v>
      </c>
      <c r="V20" s="730">
        <v>18440157</v>
      </c>
      <c r="W20" s="741">
        <f t="shared" si="7"/>
        <v>9.129</v>
      </c>
      <c r="X20" s="739">
        <f t="shared" si="8"/>
        <v>2.56</v>
      </c>
      <c r="Y20" s="780">
        <f t="shared" si="9"/>
        <v>17886299.136</v>
      </c>
      <c r="Z20" s="730">
        <f t="shared" si="10"/>
        <v>-553857.8640000001</v>
      </c>
      <c r="AA20" s="739"/>
      <c r="AB20" s="730"/>
      <c r="AC20" s="730"/>
    </row>
    <row r="21" spans="1:29" ht="15">
      <c r="A21" s="760"/>
      <c r="B21" s="761"/>
      <c r="C21" s="732" t="s">
        <v>1187</v>
      </c>
      <c r="D21" s="770"/>
      <c r="E21" s="770"/>
      <c r="F21" s="762">
        <f t="shared" si="0"/>
        <v>2.59</v>
      </c>
      <c r="G21" s="734">
        <f t="shared" si="1"/>
        <v>507745.06799999624</v>
      </c>
      <c r="H21" s="772">
        <f t="shared" si="2"/>
        <v>2.57</v>
      </c>
      <c r="I21" s="734">
        <f t="shared" si="3"/>
        <v>169248.3559999913</v>
      </c>
      <c r="J21" s="754"/>
      <c r="K21" s="754"/>
      <c r="L21" s="786">
        <f>SUM(L19:L20)</f>
        <v>4814872</v>
      </c>
      <c r="M21" s="783">
        <f>SUM(M19:M20)</f>
        <v>47973269487.854004</v>
      </c>
      <c r="N21" s="755"/>
      <c r="O21" s="764">
        <v>18053020</v>
      </c>
      <c r="P21" s="787">
        <f>O21-Q21</f>
        <v>1128184.3999999985</v>
      </c>
      <c r="Q21" s="788">
        <v>16924835.6</v>
      </c>
      <c r="R21" s="773">
        <f t="shared" si="4"/>
        <v>6.249283499381258</v>
      </c>
      <c r="S21" s="778">
        <f t="shared" si="5"/>
        <v>2657.35</v>
      </c>
      <c r="T21" s="789"/>
      <c r="U21" s="739">
        <f t="shared" si="6"/>
        <v>9963.560711033233</v>
      </c>
      <c r="V21" s="752">
        <f>V19+V20</f>
        <v>44040546</v>
      </c>
      <c r="W21" s="741">
        <f t="shared" si="7"/>
        <v>9.147</v>
      </c>
      <c r="X21" s="739">
        <f t="shared" si="8"/>
        <v>2.56</v>
      </c>
      <c r="Y21" s="780">
        <f t="shared" si="9"/>
        <v>43327579.13600001</v>
      </c>
      <c r="Z21" s="781">
        <f t="shared" si="10"/>
        <v>-712966.8639999926</v>
      </c>
      <c r="AA21" s="782">
        <f>O21*100/(780000*30)</f>
        <v>77.14965811965811</v>
      </c>
      <c r="AB21" s="730">
        <v>30</v>
      </c>
      <c r="AC21" s="730">
        <v>72433509</v>
      </c>
    </row>
    <row r="22" spans="1:29" ht="15">
      <c r="A22" s="790">
        <v>7</v>
      </c>
      <c r="B22" s="791" t="s">
        <v>1871</v>
      </c>
      <c r="C22" s="732" t="s">
        <v>1189</v>
      </c>
      <c r="D22" s="153">
        <v>9948.63</v>
      </c>
      <c r="E22" s="153">
        <v>9949.794</v>
      </c>
      <c r="F22" s="762">
        <f t="shared" si="0"/>
        <v>2.18</v>
      </c>
      <c r="G22" s="734">
        <f t="shared" si="1"/>
        <v>218821.66999999993</v>
      </c>
      <c r="H22" s="772">
        <f t="shared" si="2"/>
        <v>2.43</v>
      </c>
      <c r="I22" s="734">
        <f t="shared" si="3"/>
        <v>1312930.0200000014</v>
      </c>
      <c r="J22" s="153">
        <v>1368125</v>
      </c>
      <c r="K22" s="153">
        <v>64721</v>
      </c>
      <c r="L22" s="792">
        <f>SUM(J22:K22)</f>
        <v>1432846</v>
      </c>
      <c r="M22" s="792">
        <f>D22*J22+E22*K22</f>
        <v>14254930036.223999</v>
      </c>
      <c r="N22" s="792"/>
      <c r="O22" s="754">
        <v>4709730</v>
      </c>
      <c r="P22" s="792">
        <v>333296.6</v>
      </c>
      <c r="Q22" s="754">
        <v>4376433.4</v>
      </c>
      <c r="R22" s="773">
        <f t="shared" si="4"/>
        <v>7.0767666087015595</v>
      </c>
      <c r="S22" s="773">
        <f t="shared" si="5"/>
        <v>3026.7</v>
      </c>
      <c r="T22" s="789"/>
      <c r="U22" s="739">
        <f t="shared" si="6"/>
        <v>9948.682577348856</v>
      </c>
      <c r="V22" s="740">
        <v>10894380</v>
      </c>
      <c r="W22" s="741">
        <f t="shared" si="7"/>
        <v>7.603</v>
      </c>
      <c r="X22" s="739">
        <f t="shared" si="8"/>
        <v>2.13</v>
      </c>
      <c r="Y22" s="780">
        <f t="shared" si="9"/>
        <v>9321803.142</v>
      </c>
      <c r="Z22" s="730">
        <f t="shared" si="10"/>
        <v>-1572576.857999999</v>
      </c>
      <c r="AA22" s="782"/>
      <c r="AB22" s="730"/>
      <c r="AC22" s="730"/>
    </row>
    <row r="23" spans="1:29" ht="15">
      <c r="A23" s="1272"/>
      <c r="B23" s="1273"/>
      <c r="C23" s="732" t="s">
        <v>1188</v>
      </c>
      <c r="D23" s="153">
        <v>9997.624</v>
      </c>
      <c r="E23" s="153">
        <v>9998.578</v>
      </c>
      <c r="F23" s="762">
        <f t="shared" si="0"/>
        <v>2.16</v>
      </c>
      <c r="G23" s="734">
        <f t="shared" si="1"/>
        <v>325732.45800000057</v>
      </c>
      <c r="H23" s="772">
        <f t="shared" si="2"/>
        <v>2.11</v>
      </c>
      <c r="I23" s="734">
        <f t="shared" si="3"/>
        <v>-217154.97200000286</v>
      </c>
      <c r="J23" s="153">
        <v>2908760</v>
      </c>
      <c r="K23" s="153">
        <v>127245</v>
      </c>
      <c r="L23" s="792">
        <v>3036005</v>
      </c>
      <c r="M23" s="792">
        <f>D23*J23+E23*K23</f>
        <v>30352957843.85</v>
      </c>
      <c r="N23" s="755"/>
      <c r="O23" s="757">
        <v>11579310</v>
      </c>
      <c r="P23" s="757">
        <v>721561.6</v>
      </c>
      <c r="Q23" s="757">
        <v>10857748.6</v>
      </c>
      <c r="R23" s="773">
        <f t="shared" si="4"/>
        <v>6.2314732052255275</v>
      </c>
      <c r="S23" s="773">
        <f t="shared" si="5"/>
        <v>2621.31</v>
      </c>
      <c r="T23" s="1292"/>
      <c r="U23" s="739">
        <f t="shared" si="6"/>
        <v>9997.66398403494</v>
      </c>
      <c r="V23" s="730">
        <v>23197416</v>
      </c>
      <c r="W23" s="741">
        <f t="shared" si="7"/>
        <v>7.641</v>
      </c>
      <c r="X23" s="739">
        <f t="shared" si="8"/>
        <v>2.13</v>
      </c>
      <c r="Y23" s="780">
        <f t="shared" si="9"/>
        <v>23127004.518</v>
      </c>
      <c r="Z23" s="730">
        <f t="shared" si="10"/>
        <v>-70411.48200000077</v>
      </c>
      <c r="AA23" s="782"/>
      <c r="AB23" s="730"/>
      <c r="AC23" s="730"/>
    </row>
    <row r="24" spans="1:29" ht="15">
      <c r="A24" s="1272"/>
      <c r="B24" s="1273"/>
      <c r="C24" s="732" t="s">
        <v>1187</v>
      </c>
      <c r="D24" s="754"/>
      <c r="E24" s="754"/>
      <c r="F24" s="762">
        <f t="shared" si="0"/>
        <v>2.16</v>
      </c>
      <c r="G24" s="734">
        <f t="shared" si="1"/>
        <v>457025.4600000009</v>
      </c>
      <c r="H24" s="772">
        <f t="shared" si="2"/>
        <v>2.2</v>
      </c>
      <c r="I24" s="734">
        <f t="shared" si="3"/>
        <v>1066392.740000002</v>
      </c>
      <c r="J24" s="754"/>
      <c r="K24" s="754"/>
      <c r="L24" s="754">
        <f>SUM(L22:L23)</f>
        <v>4468851</v>
      </c>
      <c r="M24" s="754">
        <f>SUM(M22:M23)</f>
        <v>44607887880.074</v>
      </c>
      <c r="N24" s="755"/>
      <c r="O24" s="788">
        <f>O22+O23</f>
        <v>16289040</v>
      </c>
      <c r="P24" s="759">
        <f>P22+P23</f>
        <v>1054858.2</v>
      </c>
      <c r="Q24" s="788">
        <f>Q22+Q23</f>
        <v>15234182</v>
      </c>
      <c r="R24" s="773">
        <f t="shared" si="4"/>
        <v>6.475877031427267</v>
      </c>
      <c r="S24" s="778">
        <f t="shared" si="5"/>
        <v>2738.52</v>
      </c>
      <c r="T24" s="1292"/>
      <c r="U24" s="739">
        <f t="shared" si="6"/>
        <v>9981.959094199829</v>
      </c>
      <c r="V24" s="793">
        <f>V22+V23</f>
        <v>34091796</v>
      </c>
      <c r="W24" s="741">
        <f t="shared" si="7"/>
        <v>7.629</v>
      </c>
      <c r="X24" s="739">
        <f t="shared" si="8"/>
        <v>2.13</v>
      </c>
      <c r="Y24" s="780">
        <f t="shared" si="9"/>
        <v>32448807.66</v>
      </c>
      <c r="Z24" s="781">
        <f t="shared" si="10"/>
        <v>-1642988.3399999999</v>
      </c>
      <c r="AA24" s="782">
        <f>O24*100/(780000*31)</f>
        <v>67.36575682382134</v>
      </c>
      <c r="AB24" s="730">
        <v>31</v>
      </c>
      <c r="AC24" s="730">
        <v>48113335</v>
      </c>
    </row>
    <row r="25" spans="1:29" ht="15">
      <c r="A25" s="713">
        <v>8</v>
      </c>
      <c r="B25" s="794" t="s">
        <v>1872</v>
      </c>
      <c r="C25" s="732" t="s">
        <v>1189</v>
      </c>
      <c r="D25" s="754">
        <v>10003.364</v>
      </c>
      <c r="E25" s="754">
        <v>10008.58</v>
      </c>
      <c r="F25" s="762">
        <f t="shared" si="0"/>
        <v>2.16</v>
      </c>
      <c r="G25" s="734">
        <f t="shared" si="1"/>
        <v>297948.97800000384</v>
      </c>
      <c r="H25" s="772">
        <f t="shared" si="2"/>
        <v>2.15</v>
      </c>
      <c r="I25" s="734">
        <f t="shared" si="3"/>
        <v>198632.65200000256</v>
      </c>
      <c r="J25" s="754">
        <v>2714995</v>
      </c>
      <c r="K25" s="754">
        <v>108210</v>
      </c>
      <c r="L25" s="792">
        <f>SUM(J25:K25)</f>
        <v>2823205</v>
      </c>
      <c r="M25" s="792">
        <f>D25*J25+E25*K25</f>
        <v>28242111684.98</v>
      </c>
      <c r="N25" s="792"/>
      <c r="O25" s="795">
        <v>10591330</v>
      </c>
      <c r="P25" s="796">
        <v>659697.4</v>
      </c>
      <c r="Q25" s="795">
        <v>9931632.6</v>
      </c>
      <c r="R25" s="773">
        <f t="shared" si="4"/>
        <v>6.2286549470179855</v>
      </c>
      <c r="S25" s="773">
        <f t="shared" si="5"/>
        <v>2666.53</v>
      </c>
      <c r="T25" s="789"/>
      <c r="U25" s="739">
        <f t="shared" si="6"/>
        <v>10003.563922910309</v>
      </c>
      <c r="V25" s="740">
        <v>21587629</v>
      </c>
      <c r="W25" s="741">
        <f t="shared" si="7"/>
        <v>7.646</v>
      </c>
      <c r="X25" s="739">
        <f t="shared" si="8"/>
        <v>2.13</v>
      </c>
      <c r="Y25" s="780">
        <f t="shared" si="9"/>
        <v>21154377.437999997</v>
      </c>
      <c r="Z25" s="730">
        <f t="shared" si="10"/>
        <v>-433251.5620000027</v>
      </c>
      <c r="AA25" s="782"/>
      <c r="AB25" s="730"/>
      <c r="AC25" s="730"/>
    </row>
    <row r="26" spans="1:29" ht="15">
      <c r="A26" s="713"/>
      <c r="B26" s="1276"/>
      <c r="C26" s="732" t="s">
        <v>1188</v>
      </c>
      <c r="D26" s="734">
        <v>9987.95</v>
      </c>
      <c r="E26" s="734">
        <v>9986.791</v>
      </c>
      <c r="F26" s="762">
        <f t="shared" si="0"/>
        <v>2.16</v>
      </c>
      <c r="G26" s="734">
        <f t="shared" si="1"/>
        <v>306570</v>
      </c>
      <c r="H26" s="772">
        <f t="shared" si="2"/>
        <v>2.11</v>
      </c>
      <c r="I26" s="734">
        <f t="shared" si="3"/>
        <v>-204380</v>
      </c>
      <c r="J26" s="734">
        <v>2753205</v>
      </c>
      <c r="K26" s="734">
        <v>111660</v>
      </c>
      <c r="L26" s="746">
        <f>SUM(J26:K26)</f>
        <v>2864865</v>
      </c>
      <c r="M26" s="746">
        <f>D26*J26+E26*K26</f>
        <v>28613998962.810005</v>
      </c>
      <c r="N26" s="746"/>
      <c r="O26" s="797">
        <v>10891770</v>
      </c>
      <c r="P26" s="798">
        <v>672770</v>
      </c>
      <c r="Q26" s="797">
        <f>O26-P26</f>
        <v>10219000</v>
      </c>
      <c r="R26" s="773">
        <f t="shared" si="4"/>
        <v>6.1768656517719345</v>
      </c>
      <c r="S26" s="773">
        <f t="shared" si="5"/>
        <v>2627.12</v>
      </c>
      <c r="T26" s="799"/>
      <c r="U26" s="739">
        <f t="shared" si="6"/>
        <v>9987.904827211756</v>
      </c>
      <c r="V26" s="740">
        <v>21871865</v>
      </c>
      <c r="W26" s="741">
        <f t="shared" si="7"/>
        <v>7.635</v>
      </c>
      <c r="X26" s="739">
        <f t="shared" si="8"/>
        <v>2.13</v>
      </c>
      <c r="Y26" s="780">
        <f t="shared" si="9"/>
        <v>21766470</v>
      </c>
      <c r="Z26" s="730">
        <f t="shared" si="10"/>
        <v>-105395</v>
      </c>
      <c r="AA26" s="800"/>
      <c r="AB26" s="731"/>
      <c r="AC26" s="731"/>
    </row>
    <row r="27" spans="1:29" ht="15">
      <c r="A27" s="713"/>
      <c r="B27" s="1277"/>
      <c r="C27" s="732" t="s">
        <v>1187</v>
      </c>
      <c r="D27" s="733"/>
      <c r="E27" s="733"/>
      <c r="F27" s="762">
        <f t="shared" si="0"/>
        <v>2.16</v>
      </c>
      <c r="G27" s="734">
        <f t="shared" si="1"/>
        <v>604518.9780000076</v>
      </c>
      <c r="H27" s="772">
        <f t="shared" si="2"/>
        <v>2.13</v>
      </c>
      <c r="I27" s="734">
        <f t="shared" si="3"/>
        <v>0</v>
      </c>
      <c r="J27" s="734"/>
      <c r="K27" s="734"/>
      <c r="L27" s="746">
        <f>L25+L26</f>
        <v>5688070</v>
      </c>
      <c r="M27" s="746">
        <f>SUM(M25:M26)</f>
        <v>56856110647.79001</v>
      </c>
      <c r="N27" s="746">
        <f>SUM(N25:N26)</f>
        <v>0</v>
      </c>
      <c r="O27" s="746">
        <f>SUM(O25:O26)</f>
        <v>21483100</v>
      </c>
      <c r="P27" s="746">
        <f>SUM(P25:P26)</f>
        <v>1332467.4</v>
      </c>
      <c r="Q27" s="746">
        <f>SUM(Q25:Q26)</f>
        <v>20150632.6</v>
      </c>
      <c r="R27" s="773">
        <f t="shared" si="4"/>
        <v>6.202398164138322</v>
      </c>
      <c r="S27" s="778">
        <f t="shared" si="5"/>
        <v>2646.55</v>
      </c>
      <c r="T27" s="799"/>
      <c r="U27" s="739">
        <f t="shared" si="6"/>
        <v>9995.677030660665</v>
      </c>
      <c r="V27" s="752">
        <f>V25+V26</f>
        <v>43459494</v>
      </c>
      <c r="W27" s="741">
        <f t="shared" si="7"/>
        <v>7.64</v>
      </c>
      <c r="X27" s="739">
        <f t="shared" si="8"/>
        <v>2.13</v>
      </c>
      <c r="Y27" s="780">
        <f t="shared" si="9"/>
        <v>42920847.438</v>
      </c>
      <c r="Z27" s="781">
        <f t="shared" si="10"/>
        <v>-538646.561999999</v>
      </c>
      <c r="AA27" s="800">
        <f>O27*100/(780000*30)</f>
        <v>91.80811965811967</v>
      </c>
      <c r="AB27" s="731">
        <v>30</v>
      </c>
      <c r="AC27" s="731">
        <v>63505301</v>
      </c>
    </row>
    <row r="28" spans="1:29" ht="15">
      <c r="A28" s="1272">
        <v>9</v>
      </c>
      <c r="B28" s="1273" t="s">
        <v>1873</v>
      </c>
      <c r="C28" s="732" t="s">
        <v>1189</v>
      </c>
      <c r="D28" s="734">
        <v>9970.077</v>
      </c>
      <c r="E28" s="734">
        <v>9970.077</v>
      </c>
      <c r="F28" s="762">
        <f t="shared" si="0"/>
        <v>2.18</v>
      </c>
      <c r="G28" s="734">
        <f t="shared" si="1"/>
        <v>307020</v>
      </c>
      <c r="H28" s="772">
        <f t="shared" si="2"/>
        <v>2.12</v>
      </c>
      <c r="I28" s="734">
        <f t="shared" si="3"/>
        <v>-307020</v>
      </c>
      <c r="J28" s="733">
        <v>2760000</v>
      </c>
      <c r="K28" s="733">
        <v>85654</v>
      </c>
      <c r="L28" s="734">
        <v>2845654</v>
      </c>
      <c r="M28" s="735">
        <f>D28*J28+E28*K28</f>
        <v>28371389495.358</v>
      </c>
      <c r="N28" s="735"/>
      <c r="O28" s="736">
        <v>10913120</v>
      </c>
      <c r="P28" s="736">
        <v>679120</v>
      </c>
      <c r="Q28" s="736">
        <v>10234000</v>
      </c>
      <c r="R28" s="773">
        <f t="shared" si="4"/>
        <v>6.222968317034908</v>
      </c>
      <c r="S28" s="778">
        <f t="shared" si="5"/>
        <v>2599.75</v>
      </c>
      <c r="T28" s="1274"/>
      <c r="U28" s="739">
        <f t="shared" si="6"/>
        <v>9970.077000000001</v>
      </c>
      <c r="V28" s="730">
        <v>21938941</v>
      </c>
      <c r="W28" s="741">
        <f t="shared" si="7"/>
        <v>7.71</v>
      </c>
      <c r="X28" s="739">
        <f t="shared" si="8"/>
        <v>2.15</v>
      </c>
      <c r="Y28" s="780">
        <f t="shared" si="9"/>
        <v>22003100</v>
      </c>
      <c r="Z28" s="730">
        <f t="shared" si="10"/>
        <v>64159</v>
      </c>
      <c r="AA28" s="800">
        <f>O28*100/(780000*15)</f>
        <v>93.27452991452992</v>
      </c>
      <c r="AB28" s="731"/>
      <c r="AC28" s="731"/>
    </row>
    <row r="29" spans="1:29" ht="15">
      <c r="A29" s="1272"/>
      <c r="B29" s="1273"/>
      <c r="C29" s="732" t="s">
        <v>1188</v>
      </c>
      <c r="D29" s="733">
        <v>9977.929</v>
      </c>
      <c r="E29" s="733">
        <v>9975.993</v>
      </c>
      <c r="F29" s="762">
        <f t="shared" si="0"/>
        <v>2.18</v>
      </c>
      <c r="G29" s="734">
        <f t="shared" si="1"/>
        <v>329400</v>
      </c>
      <c r="H29" s="772">
        <f t="shared" si="2"/>
        <v>2.11</v>
      </c>
      <c r="I29" s="734">
        <f t="shared" si="3"/>
        <v>-439200</v>
      </c>
      <c r="J29" s="733">
        <v>2927313</v>
      </c>
      <c r="K29" s="733">
        <v>111176</v>
      </c>
      <c r="L29" s="734">
        <f>SUM(J29:K29)</f>
        <v>3038489</v>
      </c>
      <c r="M29" s="735">
        <f>D29*J29+E29*K29</f>
        <v>30317612272.545002</v>
      </c>
      <c r="N29" s="735"/>
      <c r="O29" s="744">
        <v>11701250</v>
      </c>
      <c r="P29" s="744">
        <v>721250</v>
      </c>
      <c r="Q29" s="744">
        <f>O29-P29</f>
        <v>10980000</v>
      </c>
      <c r="R29" s="773">
        <f t="shared" si="4"/>
        <v>6.163871381262686</v>
      </c>
      <c r="S29" s="778">
        <f t="shared" si="5"/>
        <v>2590.97</v>
      </c>
      <c r="T29" s="1274"/>
      <c r="U29" s="739">
        <f t="shared" si="6"/>
        <v>9977.858163233437</v>
      </c>
      <c r="V29" s="730">
        <v>23444019</v>
      </c>
      <c r="W29" s="741">
        <f t="shared" si="7"/>
        <v>7.716</v>
      </c>
      <c r="X29" s="739">
        <f t="shared" si="8"/>
        <v>2.15</v>
      </c>
      <c r="Y29" s="780">
        <f t="shared" si="9"/>
        <v>23607000</v>
      </c>
      <c r="Z29" s="730">
        <f t="shared" si="10"/>
        <v>162981</v>
      </c>
      <c r="AA29" s="800">
        <f>O29*100/(780000*16)</f>
        <v>93.76001602564102</v>
      </c>
      <c r="AB29" s="731"/>
      <c r="AC29" s="731"/>
    </row>
    <row r="30" spans="1:29" ht="15">
      <c r="A30" s="713"/>
      <c r="B30" s="794"/>
      <c r="C30" s="732" t="s">
        <v>1187</v>
      </c>
      <c r="D30" s="733"/>
      <c r="E30" s="733"/>
      <c r="F30" s="762">
        <f t="shared" si="0"/>
        <v>2.18</v>
      </c>
      <c r="G30" s="734">
        <f t="shared" si="1"/>
        <v>636420</v>
      </c>
      <c r="H30" s="772">
        <f t="shared" si="2"/>
        <v>2.11</v>
      </c>
      <c r="I30" s="734">
        <f t="shared" si="3"/>
        <v>-848560</v>
      </c>
      <c r="J30" s="733"/>
      <c r="K30" s="733"/>
      <c r="L30" s="746">
        <f>SUM(L28:L29)</f>
        <v>5884143</v>
      </c>
      <c r="M30" s="746">
        <f>SUM(M28:M29)</f>
        <v>58689001767.903</v>
      </c>
      <c r="N30" s="746"/>
      <c r="O30" s="746">
        <v>22614370</v>
      </c>
      <c r="P30" s="746">
        <v>1400370</v>
      </c>
      <c r="Q30" s="746">
        <v>21214000</v>
      </c>
      <c r="R30" s="773">
        <f t="shared" si="4"/>
        <v>6.1923900599486075</v>
      </c>
      <c r="S30" s="778">
        <f t="shared" si="5"/>
        <v>2595.21</v>
      </c>
      <c r="T30" s="799"/>
      <c r="U30" s="739">
        <f t="shared" si="6"/>
        <v>9974.095083668599</v>
      </c>
      <c r="V30" s="752">
        <f>V28+V29</f>
        <v>45382960</v>
      </c>
      <c r="W30" s="741">
        <f t="shared" si="7"/>
        <v>7.713</v>
      </c>
      <c r="X30" s="739">
        <f t="shared" si="8"/>
        <v>2.15</v>
      </c>
      <c r="Y30" s="780">
        <f t="shared" si="9"/>
        <v>45610100</v>
      </c>
      <c r="Z30" s="781">
        <f t="shared" si="10"/>
        <v>227140</v>
      </c>
      <c r="AA30" s="800">
        <f>O30*100/(780000*31)</f>
        <v>93.52510339123242</v>
      </c>
      <c r="AB30" s="731">
        <v>31</v>
      </c>
      <c r="AC30" s="731">
        <v>66321803</v>
      </c>
    </row>
    <row r="31" spans="1:29" ht="15">
      <c r="A31" s="1272">
        <v>10</v>
      </c>
      <c r="B31" s="1273" t="s">
        <v>1874</v>
      </c>
      <c r="C31" s="732" t="s">
        <v>1189</v>
      </c>
      <c r="D31" s="733">
        <v>10143.136</v>
      </c>
      <c r="E31" s="733">
        <v>10076.435</v>
      </c>
      <c r="F31" s="762">
        <f t="shared" si="0"/>
        <v>2.19</v>
      </c>
      <c r="G31" s="734">
        <f t="shared" si="1"/>
        <v>283023.299999997</v>
      </c>
      <c r="H31" s="772">
        <f t="shared" si="2"/>
        <v>2.22</v>
      </c>
      <c r="I31" s="734">
        <f t="shared" si="3"/>
        <v>566046.6000000015</v>
      </c>
      <c r="J31" s="733">
        <v>2688232</v>
      </c>
      <c r="K31" s="733">
        <v>17360</v>
      </c>
      <c r="L31" s="734">
        <f>SUM(J31:K31)</f>
        <v>2705592</v>
      </c>
      <c r="M31" s="735">
        <f>D31*J31+E31*K31</f>
        <v>27442029687.152</v>
      </c>
      <c r="N31" s="735"/>
      <c r="O31" s="736">
        <v>10080170</v>
      </c>
      <c r="P31" s="736">
        <v>646060</v>
      </c>
      <c r="Q31" s="736">
        <v>9434110</v>
      </c>
      <c r="R31" s="773">
        <f t="shared" si="4"/>
        <v>6.409217304866882</v>
      </c>
      <c r="S31" s="778">
        <f t="shared" si="5"/>
        <v>2722.38</v>
      </c>
      <c r="T31" s="1274"/>
      <c r="U31" s="739">
        <f t="shared" si="6"/>
        <v>10142.708023660625</v>
      </c>
      <c r="V31" s="730">
        <v>21295051</v>
      </c>
      <c r="W31" s="741">
        <f t="shared" si="7"/>
        <v>7.871</v>
      </c>
      <c r="X31" s="739">
        <f t="shared" si="8"/>
        <v>2.16</v>
      </c>
      <c r="Y31" s="780">
        <f t="shared" si="9"/>
        <v>20377677.6</v>
      </c>
      <c r="Z31" s="730">
        <f t="shared" si="10"/>
        <v>-917373.3999999985</v>
      </c>
      <c r="AA31" s="800">
        <f>O31*100/(780000*15)</f>
        <v>86.15529914529914</v>
      </c>
      <c r="AB31" s="731"/>
      <c r="AC31" s="731"/>
    </row>
    <row r="32" spans="1:29" ht="15">
      <c r="A32" s="1272"/>
      <c r="B32" s="1273"/>
      <c r="C32" s="732" t="s">
        <v>1188</v>
      </c>
      <c r="D32" s="801">
        <v>10060.291</v>
      </c>
      <c r="E32" s="801">
        <v>10029.249</v>
      </c>
      <c r="F32" s="762">
        <f t="shared" si="0"/>
        <v>2.19</v>
      </c>
      <c r="G32" s="734">
        <f t="shared" si="1"/>
        <v>324780.08999999985</v>
      </c>
      <c r="H32" s="772">
        <f t="shared" si="2"/>
        <v>2.12</v>
      </c>
      <c r="I32" s="734">
        <f t="shared" si="3"/>
        <v>-433040.12000000104</v>
      </c>
      <c r="J32" s="733">
        <v>2919966</v>
      </c>
      <c r="K32" s="733">
        <v>54356</v>
      </c>
      <c r="L32" s="734">
        <f>SUM(J32:K32)</f>
        <v>2974322</v>
      </c>
      <c r="M32" s="735">
        <f>D32*J32+E32*K32</f>
        <v>29920857528.75</v>
      </c>
      <c r="N32" s="735"/>
      <c r="O32" s="744">
        <v>11527353</v>
      </c>
      <c r="P32" s="744">
        <v>701350</v>
      </c>
      <c r="Q32" s="744">
        <f>O32-P32</f>
        <v>10826003</v>
      </c>
      <c r="R32" s="773">
        <f t="shared" si="4"/>
        <v>6.084224192665914</v>
      </c>
      <c r="S32" s="778">
        <f t="shared" si="5"/>
        <v>2595.64</v>
      </c>
      <c r="T32" s="1274"/>
      <c r="U32" s="739">
        <f t="shared" si="6"/>
        <v>10059.723704679587</v>
      </c>
      <c r="V32" s="730">
        <v>23218761</v>
      </c>
      <c r="W32" s="741">
        <f t="shared" si="7"/>
        <v>7.806</v>
      </c>
      <c r="X32" s="739">
        <f t="shared" si="8"/>
        <v>2.16</v>
      </c>
      <c r="Y32" s="780">
        <f t="shared" si="9"/>
        <v>23384166.48</v>
      </c>
      <c r="Z32" s="730">
        <f t="shared" si="10"/>
        <v>165405.48000000045</v>
      </c>
      <c r="AA32" s="800">
        <f>O32*100/(780000*30)</f>
        <v>49.26219230769231</v>
      </c>
      <c r="AB32" s="731"/>
      <c r="AC32" s="731"/>
    </row>
    <row r="33" spans="1:29" ht="15">
      <c r="A33" s="713"/>
      <c r="B33" s="794"/>
      <c r="C33" s="732" t="s">
        <v>1187</v>
      </c>
      <c r="D33" s="801"/>
      <c r="E33" s="801"/>
      <c r="F33" s="762">
        <f t="shared" si="0"/>
        <v>2.19</v>
      </c>
      <c r="G33" s="734">
        <f t="shared" si="1"/>
        <v>607803.3899999931</v>
      </c>
      <c r="H33" s="772">
        <f t="shared" si="2"/>
        <v>2.17</v>
      </c>
      <c r="I33" s="734">
        <f t="shared" si="3"/>
        <v>202601.12999999523</v>
      </c>
      <c r="J33" s="733">
        <v>2919966</v>
      </c>
      <c r="K33" s="733">
        <v>54356</v>
      </c>
      <c r="L33" s="746">
        <f>SUM(L31:L32)</f>
        <v>5679914</v>
      </c>
      <c r="M33" s="746">
        <f>SUM(M31:M32)</f>
        <v>57362887215.902</v>
      </c>
      <c r="N33" s="746"/>
      <c r="O33" s="746">
        <f>O31+O32</f>
        <v>21607523</v>
      </c>
      <c r="P33" s="746">
        <f>P31+P32</f>
        <v>1347410</v>
      </c>
      <c r="Q33" s="746">
        <f>Q31+Q32</f>
        <v>20260113</v>
      </c>
      <c r="R33" s="773">
        <f t="shared" si="4"/>
        <v>6.23583739792849</v>
      </c>
      <c r="S33" s="778">
        <f t="shared" si="5"/>
        <v>2654.76</v>
      </c>
      <c r="T33" s="799"/>
      <c r="U33" s="739">
        <f t="shared" si="6"/>
        <v>10099.252773176144</v>
      </c>
      <c r="V33" s="752">
        <f>V31+V32</f>
        <v>44513812</v>
      </c>
      <c r="W33" s="741">
        <f t="shared" si="7"/>
        <v>7.837</v>
      </c>
      <c r="X33" s="739">
        <f t="shared" si="8"/>
        <v>2.16</v>
      </c>
      <c r="Y33" s="780">
        <f t="shared" si="9"/>
        <v>43761844.080000006</v>
      </c>
      <c r="Z33" s="781">
        <f t="shared" si="10"/>
        <v>-751967.9199999943</v>
      </c>
      <c r="AA33" s="800">
        <f>O33*100/(780000*31)</f>
        <v>89.36113730355666</v>
      </c>
      <c r="AB33" s="731">
        <v>31</v>
      </c>
      <c r="AC33" s="731">
        <v>62801008</v>
      </c>
    </row>
    <row r="34" spans="1:29" ht="15">
      <c r="A34" s="1272">
        <v>11</v>
      </c>
      <c r="B34" s="1273" t="s">
        <v>1875</v>
      </c>
      <c r="C34" s="732" t="s">
        <v>1189</v>
      </c>
      <c r="D34" s="733">
        <v>10067.563</v>
      </c>
      <c r="E34" s="733">
        <v>10067.563</v>
      </c>
      <c r="F34" s="762">
        <f t="shared" si="0"/>
        <v>2.19</v>
      </c>
      <c r="G34" s="734">
        <f t="shared" si="1"/>
        <v>207320</v>
      </c>
      <c r="H34" s="772">
        <f t="shared" si="2"/>
        <v>2.14</v>
      </c>
      <c r="I34" s="734">
        <f t="shared" si="3"/>
        <v>-310980</v>
      </c>
      <c r="J34" s="733">
        <v>2760000</v>
      </c>
      <c r="K34" s="733">
        <v>98594</v>
      </c>
      <c r="L34" s="734">
        <f>SUM(J34+K34)</f>
        <v>2858594</v>
      </c>
      <c r="M34" s="735">
        <f>D34*J34+E34*K34</f>
        <v>28779075186.422</v>
      </c>
      <c r="N34" s="735"/>
      <c r="O34" s="736">
        <v>11033480</v>
      </c>
      <c r="P34" s="736">
        <v>667480</v>
      </c>
      <c r="Q34" s="736">
        <v>10366000</v>
      </c>
      <c r="R34" s="773">
        <f t="shared" si="4"/>
        <v>6.049587256241911</v>
      </c>
      <c r="S34" s="778">
        <f t="shared" si="5"/>
        <v>2608.34</v>
      </c>
      <c r="T34" s="1274"/>
      <c r="U34" s="739">
        <f t="shared" si="6"/>
        <v>10067.563</v>
      </c>
      <c r="V34" s="752">
        <v>22384891</v>
      </c>
      <c r="W34" s="741">
        <f t="shared" si="7"/>
        <v>7.831</v>
      </c>
      <c r="X34" s="739">
        <f t="shared" si="8"/>
        <v>2.17</v>
      </c>
      <c r="Y34" s="780">
        <f t="shared" si="9"/>
        <v>22494220</v>
      </c>
      <c r="Z34" s="781">
        <f t="shared" si="10"/>
        <v>109329</v>
      </c>
      <c r="AA34" s="800">
        <f>O34*100/(780000*15)</f>
        <v>94.30324786324786</v>
      </c>
      <c r="AB34" s="731"/>
      <c r="AC34" s="731"/>
    </row>
    <row r="35" spans="1:29" ht="15">
      <c r="A35" s="1272"/>
      <c r="B35" s="1273"/>
      <c r="C35" s="732" t="s">
        <v>1188</v>
      </c>
      <c r="D35" s="733">
        <v>10054.01</v>
      </c>
      <c r="E35" s="733">
        <v>10057.225</v>
      </c>
      <c r="F35" s="762">
        <f t="shared" si="0"/>
        <v>2.19</v>
      </c>
      <c r="G35" s="734">
        <f t="shared" si="1"/>
        <v>173200</v>
      </c>
      <c r="H35" s="772">
        <f t="shared" si="2"/>
        <v>2.17</v>
      </c>
      <c r="I35" s="734">
        <f t="shared" si="3"/>
        <v>0</v>
      </c>
      <c r="J35" s="733">
        <v>2362464</v>
      </c>
      <c r="K35" s="733">
        <v>66581</v>
      </c>
      <c r="L35" s="734">
        <f>SUM(J35+K35)</f>
        <v>2429045</v>
      </c>
      <c r="M35" s="735">
        <f>D35*J35+E35*K35</f>
        <v>24421856778.364998</v>
      </c>
      <c r="N35" s="735"/>
      <c r="O35" s="744">
        <v>9230580</v>
      </c>
      <c r="P35" s="744">
        <v>570580</v>
      </c>
      <c r="Q35" s="736">
        <v>8660000</v>
      </c>
      <c r="R35" s="773">
        <f t="shared" si="4"/>
        <v>6.181410052239404</v>
      </c>
      <c r="S35" s="778">
        <f t="shared" si="5"/>
        <v>2645.76</v>
      </c>
      <c r="T35" s="1274"/>
      <c r="U35" s="739">
        <f t="shared" si="6"/>
        <v>10054.09812431017</v>
      </c>
      <c r="V35" s="730">
        <v>18995759</v>
      </c>
      <c r="W35" s="741">
        <f t="shared" si="7"/>
        <v>7.82</v>
      </c>
      <c r="X35" s="739">
        <f t="shared" si="8"/>
        <v>2.17</v>
      </c>
      <c r="Y35" s="780">
        <f t="shared" si="9"/>
        <v>18792200</v>
      </c>
      <c r="Z35" s="781">
        <f t="shared" si="10"/>
        <v>-203559</v>
      </c>
      <c r="AA35" s="800">
        <f>O35*100/(780000*13)</f>
        <v>91.03136094674556</v>
      </c>
      <c r="AB35" s="731"/>
      <c r="AC35" s="731"/>
    </row>
    <row r="36" spans="1:29" ht="15">
      <c r="A36" s="713"/>
      <c r="B36" s="794"/>
      <c r="C36" s="732" t="s">
        <v>1187</v>
      </c>
      <c r="D36" s="733"/>
      <c r="E36" s="733"/>
      <c r="F36" s="762">
        <f t="shared" si="0"/>
        <v>2.19</v>
      </c>
      <c r="G36" s="734">
        <f t="shared" si="1"/>
        <v>380520</v>
      </c>
      <c r="H36" s="772">
        <f t="shared" si="2"/>
        <v>2.15</v>
      </c>
      <c r="I36" s="734">
        <f t="shared" si="3"/>
        <v>-380520</v>
      </c>
      <c r="J36" s="733"/>
      <c r="K36" s="733"/>
      <c r="L36" s="734">
        <f>SUM(L34+L35)</f>
        <v>5287639</v>
      </c>
      <c r="M36" s="734">
        <f>SUM(M34+M35)</f>
        <v>53200931964.787</v>
      </c>
      <c r="N36" s="735"/>
      <c r="O36" s="802">
        <f>O34+O35</f>
        <v>20264060</v>
      </c>
      <c r="P36" s="802">
        <f>P34+P35</f>
        <v>1238060</v>
      </c>
      <c r="Q36" s="803">
        <f>Q34+Q35</f>
        <v>19026000</v>
      </c>
      <c r="R36" s="773">
        <f t="shared" si="4"/>
        <v>6.109634495752578</v>
      </c>
      <c r="S36" s="778">
        <f t="shared" si="5"/>
        <v>2625.38</v>
      </c>
      <c r="T36" s="804"/>
      <c r="U36" s="739">
        <f t="shared" si="6"/>
        <v>10061.377481478406</v>
      </c>
      <c r="V36" s="793">
        <f>V34+V35</f>
        <v>41380650</v>
      </c>
      <c r="W36" s="741">
        <f t="shared" si="7"/>
        <v>7.826</v>
      </c>
      <c r="X36" s="739">
        <f t="shared" si="8"/>
        <v>2.17</v>
      </c>
      <c r="Y36" s="780">
        <f t="shared" si="9"/>
        <v>41286420</v>
      </c>
      <c r="Z36" s="781">
        <f t="shared" si="10"/>
        <v>-94230</v>
      </c>
      <c r="AA36" s="800">
        <f>O36*100/(780000*28)</f>
        <v>92.78415750915751</v>
      </c>
      <c r="AB36" s="731">
        <v>28</v>
      </c>
      <c r="AC36" s="731">
        <v>59852866</v>
      </c>
    </row>
    <row r="37" spans="1:29" ht="15">
      <c r="A37" s="1272">
        <v>12</v>
      </c>
      <c r="B37" s="1273" t="s">
        <v>1876</v>
      </c>
      <c r="C37" s="732" t="s">
        <v>1189</v>
      </c>
      <c r="D37" s="733">
        <v>10091.207</v>
      </c>
      <c r="E37" s="733">
        <v>10085.874</v>
      </c>
      <c r="F37" s="762">
        <f t="shared" si="0"/>
        <v>2.17</v>
      </c>
      <c r="G37" s="734">
        <f t="shared" si="1"/>
        <v>284025.6599999964</v>
      </c>
      <c r="H37" s="772">
        <f t="shared" si="2"/>
        <v>2.17</v>
      </c>
      <c r="I37" s="734">
        <f t="shared" si="3"/>
        <v>284025.6599999964</v>
      </c>
      <c r="J37" s="733">
        <v>2685518</v>
      </c>
      <c r="K37" s="733">
        <v>7519</v>
      </c>
      <c r="L37" s="734">
        <f>J37+K37</f>
        <v>2693037</v>
      </c>
      <c r="M37" s="735">
        <f>D37*J37+E37*K37</f>
        <v>27175953726.832</v>
      </c>
      <c r="N37" s="735"/>
      <c r="O37" s="736">
        <v>10125860</v>
      </c>
      <c r="P37" s="736">
        <v>658338</v>
      </c>
      <c r="Q37" s="736">
        <v>9467522</v>
      </c>
      <c r="R37" s="773">
        <f t="shared" si="4"/>
        <v>6.501551473158823</v>
      </c>
      <c r="S37" s="778">
        <f t="shared" si="5"/>
        <v>2683.82</v>
      </c>
      <c r="T37" s="711"/>
      <c r="U37" s="739">
        <f t="shared" si="6"/>
        <v>10091.19211018341</v>
      </c>
      <c r="V37" s="730">
        <v>20863001</v>
      </c>
      <c r="W37" s="741">
        <f t="shared" si="7"/>
        <v>7.747</v>
      </c>
      <c r="X37" s="739">
        <f t="shared" si="8"/>
        <v>2.14</v>
      </c>
      <c r="Y37" s="780">
        <f t="shared" si="9"/>
        <v>20260497.080000002</v>
      </c>
      <c r="Z37" s="781">
        <f t="shared" si="10"/>
        <v>-602503.9199999981</v>
      </c>
      <c r="AA37" s="800">
        <f>O37*100/(780000*15)</f>
        <v>86.54581196581196</v>
      </c>
      <c r="AB37" s="731"/>
      <c r="AC37" s="731"/>
    </row>
    <row r="38" spans="1:29" ht="15">
      <c r="A38" s="1275"/>
      <c r="B38" s="1276"/>
      <c r="C38" s="805" t="s">
        <v>1188</v>
      </c>
      <c r="D38" s="806">
        <v>10075.76</v>
      </c>
      <c r="E38" s="806">
        <v>10075.136</v>
      </c>
      <c r="F38" s="762">
        <f t="shared" si="0"/>
        <v>1.94</v>
      </c>
      <c r="G38" s="734">
        <f t="shared" si="1"/>
        <v>300720</v>
      </c>
      <c r="H38" s="772">
        <f t="shared" si="2"/>
        <v>1.9</v>
      </c>
      <c r="I38" s="734">
        <f t="shared" si="3"/>
        <v>-100240</v>
      </c>
      <c r="J38" s="806">
        <v>2942467</v>
      </c>
      <c r="K38" s="806">
        <v>72669</v>
      </c>
      <c r="L38" s="734">
        <f>SUM(J38+K38)</f>
        <v>3015136</v>
      </c>
      <c r="M38" s="735">
        <f>D38*J38+E38*K38</f>
        <v>30379741357.904003</v>
      </c>
      <c r="N38" s="807"/>
      <c r="O38" s="802">
        <v>11528510</v>
      </c>
      <c r="P38" s="802">
        <v>704510</v>
      </c>
      <c r="Q38" s="736">
        <v>10024000</v>
      </c>
      <c r="R38" s="773">
        <f t="shared" si="4"/>
        <v>6.111023887735709</v>
      </c>
      <c r="S38" s="778">
        <f t="shared" si="5"/>
        <v>2635.18</v>
      </c>
      <c r="T38" s="711"/>
      <c r="U38" s="739">
        <f t="shared" si="6"/>
        <v>10075.744960726151</v>
      </c>
      <c r="V38" s="730">
        <v>20863001</v>
      </c>
      <c r="W38" s="741">
        <f t="shared" si="7"/>
        <v>6.919</v>
      </c>
      <c r="X38" s="739">
        <f t="shared" si="8"/>
        <v>1.91</v>
      </c>
      <c r="Y38" s="780">
        <f t="shared" si="9"/>
        <v>19145840</v>
      </c>
      <c r="Z38" s="781">
        <f t="shared" si="10"/>
        <v>-1717161</v>
      </c>
      <c r="AA38" s="800">
        <f>O38*100/(780000*30)</f>
        <v>49.26713675213675</v>
      </c>
      <c r="AB38" s="731"/>
      <c r="AC38" s="731"/>
    </row>
    <row r="39" spans="1:29" ht="15">
      <c r="A39" s="713"/>
      <c r="B39" s="794"/>
      <c r="C39" s="732" t="s">
        <v>1187</v>
      </c>
      <c r="D39" s="733"/>
      <c r="E39" s="733"/>
      <c r="F39" s="762">
        <f t="shared" si="0"/>
        <v>2.05</v>
      </c>
      <c r="G39" s="734">
        <f t="shared" si="1"/>
        <v>584745.6599999964</v>
      </c>
      <c r="H39" s="772">
        <f t="shared" si="2"/>
        <v>2.03</v>
      </c>
      <c r="I39" s="734">
        <f t="shared" si="3"/>
        <v>194915.2199999988</v>
      </c>
      <c r="J39" s="733"/>
      <c r="K39" s="733"/>
      <c r="L39" s="734">
        <f>SUM(L37:L38)</f>
        <v>5708173</v>
      </c>
      <c r="M39" s="734">
        <f>SUM(M37:M38)</f>
        <v>57555695084.73601</v>
      </c>
      <c r="N39" s="735"/>
      <c r="O39" s="731">
        <f>O37+O38</f>
        <v>21654370</v>
      </c>
      <c r="P39" s="731">
        <f>P37+P38</f>
        <v>1362848</v>
      </c>
      <c r="Q39" s="731">
        <f>Q37+Q38</f>
        <v>19491522</v>
      </c>
      <c r="R39" s="773">
        <f t="shared" si="4"/>
        <v>6.293639574829468</v>
      </c>
      <c r="S39" s="778">
        <f t="shared" si="5"/>
        <v>2657.93</v>
      </c>
      <c r="T39" s="728"/>
      <c r="U39" s="739">
        <f t="shared" si="6"/>
        <v>10083.032711996642</v>
      </c>
      <c r="V39" s="793">
        <f>V37+V38</f>
        <v>41726002</v>
      </c>
      <c r="W39" s="741">
        <f t="shared" si="7"/>
        <v>7.31</v>
      </c>
      <c r="X39" s="739">
        <f t="shared" si="8"/>
        <v>2.02</v>
      </c>
      <c r="Y39" s="780">
        <f t="shared" si="9"/>
        <v>39372874.44</v>
      </c>
      <c r="Z39" s="781">
        <f t="shared" si="10"/>
        <v>-2353127.5600000024</v>
      </c>
      <c r="AA39" s="800">
        <f>O39*100/(780000*31)</f>
        <v>89.55488006617038</v>
      </c>
      <c r="AB39" s="731">
        <v>31</v>
      </c>
      <c r="AC39" s="731">
        <v>63234021</v>
      </c>
    </row>
    <row r="40" spans="1:29" ht="15">
      <c r="A40" s="808"/>
      <c r="B40" s="809"/>
      <c r="C40" s="810"/>
      <c r="D40" s="811"/>
      <c r="E40" s="811"/>
      <c r="F40" s="811"/>
      <c r="G40" s="811"/>
      <c r="H40" s="812"/>
      <c r="I40" s="811"/>
      <c r="J40" s="811"/>
      <c r="K40" s="811"/>
      <c r="L40" s="811"/>
      <c r="M40" s="813"/>
      <c r="N40" s="813"/>
      <c r="O40" s="804"/>
      <c r="P40" s="804"/>
      <c r="Q40" s="814"/>
      <c r="R40" s="711"/>
      <c r="S40" s="711"/>
      <c r="T40" s="711"/>
      <c r="U40" s="711"/>
      <c r="V40" s="711"/>
      <c r="W40" s="711"/>
      <c r="X40" s="815"/>
      <c r="Y40" s="816"/>
      <c r="Z40" s="817">
        <f>SUM(Z6,Z9,Z12,Z15,Z18,Z21,Z24,Z27,Z30,Z33,Z36,Z39)</f>
        <v>-13291001.885999996</v>
      </c>
      <c r="AA40" s="816"/>
      <c r="AB40" s="816">
        <f>SUM(AB5:AB39)</f>
        <v>365</v>
      </c>
      <c r="AC40" s="816">
        <f>SUM(AC6:AC39)</f>
        <v>773559452</v>
      </c>
    </row>
    <row r="41" spans="1:29" ht="15">
      <c r="A41" s="808"/>
      <c r="B41" s="809"/>
      <c r="C41" s="711"/>
      <c r="D41" s="711"/>
      <c r="E41" s="711"/>
      <c r="F41" s="711"/>
      <c r="G41" s="711">
        <f>SUM(G6,G9,G12,G15,G18,G21,G24,G27,G30,G33,G36,G39)</f>
        <v>6699418.0859999955</v>
      </c>
      <c r="H41" s="711"/>
      <c r="I41" s="711">
        <f>SUM(I6,I9,I12,I15,I18,I21,I24,I27,I30,I33,I36,I39)</f>
        <v>4691686.221999988</v>
      </c>
      <c r="J41" s="711"/>
      <c r="K41" s="711"/>
      <c r="L41" s="711"/>
      <c r="M41" s="711"/>
      <c r="N41" s="711"/>
      <c r="O41" s="818">
        <f>SUM(O6,O9,O12,O15,O18,O21,O24,O27,O30,O33,O36,O39)</f>
        <v>246643353</v>
      </c>
      <c r="P41" s="818">
        <f>SUM(P6,P9,P12,P15,P18,P21,P24,P27,P30,P33,P36,P39)</f>
        <v>15320265.799999999</v>
      </c>
      <c r="Q41" s="818">
        <f>SUM(Q6,Q9,Q12,Q15,Q18,Q21,Q24,Q27,Q30,Q33,Q36,Q39)</f>
        <v>230523087.39999998</v>
      </c>
      <c r="R41" s="819">
        <f>(P41/O41)*100</f>
        <v>6.211505647184419</v>
      </c>
      <c r="S41" s="711"/>
      <c r="T41" s="711"/>
      <c r="U41" s="711"/>
      <c r="V41" s="711">
        <f>SUM(V6,V9,V12,V15,V18,V21,V24,V27,V30,V33,V36,V39)</f>
        <v>553515504</v>
      </c>
      <c r="W41" s="711"/>
      <c r="X41" s="711"/>
      <c r="Y41" s="816">
        <f>SUM(Y6,Y9,Y12,Y15,Y18,Y21,Y24,Y27,Y30,Y33,Y36,Y39)</f>
        <v>540224502.1140001</v>
      </c>
      <c r="Z41" s="820">
        <f>Z40/10000000</f>
        <v>-1.3291001885999996</v>
      </c>
      <c r="AA41" s="816"/>
      <c r="AB41" s="816"/>
      <c r="AC41" s="817">
        <f>AC40/10000000</f>
        <v>77.3559452</v>
      </c>
    </row>
    <row r="42" spans="1:29" ht="15">
      <c r="A42" s="711"/>
      <c r="B42" s="711"/>
      <c r="C42" s="711"/>
      <c r="D42" s="711"/>
      <c r="E42" s="711"/>
      <c r="F42" s="711"/>
      <c r="G42" s="819">
        <f>G41/10000000</f>
        <v>0.6699418085999995</v>
      </c>
      <c r="H42" s="711"/>
      <c r="I42" s="819">
        <f>I41/10000000</f>
        <v>0.4691686221999988</v>
      </c>
      <c r="J42" s="711"/>
      <c r="K42" s="711"/>
      <c r="L42" s="818">
        <f>SUM(L6,L9,L12,L15,L18,L21,L24,L27,L30,L33,L36,L39)</f>
        <v>65450110</v>
      </c>
      <c r="M42" s="818">
        <f>SUM(M6,M9,M12,M15,M18,M21,M24,M27,M30,M33,M36,M39)</f>
        <v>658104771241.204</v>
      </c>
      <c r="N42" s="711"/>
      <c r="O42" s="817">
        <f>O41/1000000</f>
        <v>246.643353</v>
      </c>
      <c r="P42" s="817">
        <f>P41/1000000</f>
        <v>15.3202658</v>
      </c>
      <c r="Q42" s="817">
        <f>Q41/1000000</f>
        <v>230.52308739999998</v>
      </c>
      <c r="R42" s="711"/>
      <c r="S42" s="711"/>
      <c r="T42" s="711"/>
      <c r="U42" s="711"/>
      <c r="V42" s="817">
        <f>V41/10000000</f>
        <v>55.3515504</v>
      </c>
      <c r="W42" s="711"/>
      <c r="X42" s="711"/>
      <c r="Y42" s="817">
        <f>Y41/10000000</f>
        <v>54.022450211400006</v>
      </c>
      <c r="Z42" s="816"/>
      <c r="AA42" s="816"/>
      <c r="AB42" s="816"/>
      <c r="AC42" s="816"/>
    </row>
    <row r="43" spans="1:29" ht="15">
      <c r="A43" s="711"/>
      <c r="B43" s="711"/>
      <c r="C43" s="711"/>
      <c r="D43" s="711"/>
      <c r="E43" s="711"/>
      <c r="F43" s="711"/>
      <c r="G43" s="711"/>
      <c r="H43" s="711"/>
      <c r="I43" s="711"/>
      <c r="J43" s="711"/>
      <c r="K43" s="711"/>
      <c r="L43" s="711"/>
      <c r="M43" s="711"/>
      <c r="N43" s="711"/>
      <c r="O43" s="711"/>
      <c r="P43" s="819">
        <f>P41*100/O41</f>
        <v>6.211505647184419</v>
      </c>
      <c r="Q43" s="711"/>
      <c r="R43" s="711"/>
      <c r="S43" s="711"/>
      <c r="T43" s="711"/>
      <c r="U43" s="711"/>
      <c r="V43" s="711"/>
      <c r="W43" s="711"/>
      <c r="X43" s="711"/>
      <c r="Y43" s="711"/>
      <c r="Z43" s="711"/>
      <c r="AA43" s="711"/>
      <c r="AB43" s="711"/>
      <c r="AC43" s="711"/>
    </row>
    <row r="44" spans="1:29" ht="15">
      <c r="A44" s="1271" t="s">
        <v>1186</v>
      </c>
      <c r="B44" s="1271"/>
      <c r="C44" s="1271"/>
      <c r="D44" s="1271"/>
      <c r="E44" s="1271"/>
      <c r="F44" s="1271"/>
      <c r="G44" s="1271"/>
      <c r="H44" s="1271"/>
      <c r="I44" s="1271"/>
      <c r="J44" s="1271"/>
      <c r="K44" s="711" t="s">
        <v>1185</v>
      </c>
      <c r="L44" s="711"/>
      <c r="M44" s="821">
        <f>M42/L42</f>
        <v>10055.059819474773</v>
      </c>
      <c r="N44" s="711"/>
      <c r="O44" s="711" t="s">
        <v>1184</v>
      </c>
      <c r="P44" s="711"/>
      <c r="Q44" s="711"/>
      <c r="R44" s="711"/>
      <c r="S44" s="711"/>
      <c r="T44" s="711"/>
      <c r="U44" s="711" t="s">
        <v>1183</v>
      </c>
      <c r="V44" s="819">
        <f>(O41*100)/(780000*AB40)</f>
        <v>86.63271970495258</v>
      </c>
      <c r="W44" s="711"/>
      <c r="X44" s="711"/>
      <c r="Y44" s="711"/>
      <c r="Z44" s="711">
        <f>Q15*X15</f>
        <v>52273800</v>
      </c>
      <c r="AA44" s="711"/>
      <c r="AB44" s="711"/>
      <c r="AC44" s="711"/>
    </row>
    <row r="45" spans="1:29" ht="15">
      <c r="A45" s="822" t="s">
        <v>1863</v>
      </c>
      <c r="B45" s="711"/>
      <c r="C45" s="823">
        <f>V41/L42</f>
        <v>8.457059949937442</v>
      </c>
      <c r="D45" s="711"/>
      <c r="E45" s="711"/>
      <c r="F45" s="711"/>
      <c r="G45" s="711"/>
      <c r="H45" s="711"/>
      <c r="I45" s="711"/>
      <c r="J45" s="711"/>
      <c r="K45" s="711"/>
      <c r="L45" s="711"/>
      <c r="M45" s="711"/>
      <c r="N45" s="711"/>
      <c r="O45" s="711"/>
      <c r="P45" s="711"/>
      <c r="Q45" s="711"/>
      <c r="R45" s="711"/>
      <c r="S45" s="711"/>
      <c r="T45" s="711"/>
      <c r="U45" s="711"/>
      <c r="V45" s="711"/>
      <c r="W45" s="711"/>
      <c r="X45" s="711"/>
      <c r="Y45" s="711"/>
      <c r="Z45" s="711">
        <f>19928367.8*2.87</f>
        <v>57194415.586</v>
      </c>
      <c r="AA45" s="711"/>
      <c r="AB45" s="711"/>
      <c r="AC45" s="711"/>
    </row>
    <row r="46" spans="1:29" ht="15">
      <c r="A46" s="1271" t="s">
        <v>1182</v>
      </c>
      <c r="B46" s="1271"/>
      <c r="C46" s="1271"/>
      <c r="D46" s="1271"/>
      <c r="E46" s="815">
        <f>ROUND((L42*M44)/O41,2)</f>
        <v>2668.24</v>
      </c>
      <c r="F46" s="815"/>
      <c r="G46" s="821">
        <f>(L42*M44)/O41</f>
        <v>2668.2445046114985</v>
      </c>
      <c r="H46" s="711"/>
      <c r="I46" s="711"/>
      <c r="J46" s="711" t="s">
        <v>1181</v>
      </c>
      <c r="K46" s="711"/>
      <c r="L46" s="711"/>
      <c r="M46" s="711"/>
      <c r="N46" s="711"/>
      <c r="O46" s="711"/>
      <c r="P46" s="711"/>
      <c r="Q46" s="711"/>
      <c r="R46" s="711"/>
      <c r="S46" s="711"/>
      <c r="T46" s="711"/>
      <c r="U46" s="711"/>
      <c r="V46" s="711"/>
      <c r="W46" s="711"/>
      <c r="X46" s="711"/>
      <c r="Y46" s="711"/>
      <c r="Z46" s="711"/>
      <c r="AA46" s="711"/>
      <c r="AB46" s="711"/>
      <c r="AC46" s="711"/>
    </row>
    <row r="47" spans="1:29" ht="15">
      <c r="A47" s="711"/>
      <c r="B47" s="711"/>
      <c r="C47" s="711"/>
      <c r="D47" s="711"/>
      <c r="E47" s="711"/>
      <c r="F47" s="711"/>
      <c r="G47" s="711"/>
      <c r="H47" s="711"/>
      <c r="I47" s="711"/>
      <c r="J47" s="711"/>
      <c r="K47" s="711"/>
      <c r="L47" s="711"/>
      <c r="M47" s="711" t="s">
        <v>1775</v>
      </c>
      <c r="N47" s="711"/>
      <c r="O47" s="711"/>
      <c r="P47" s="711"/>
      <c r="Q47" s="711"/>
      <c r="R47" s="711"/>
      <c r="S47" s="711"/>
      <c r="T47" s="711"/>
      <c r="U47" s="711"/>
      <c r="V47" s="711"/>
      <c r="W47" s="711"/>
      <c r="X47" s="711"/>
      <c r="Y47" s="711"/>
      <c r="Z47" s="711"/>
      <c r="AA47" s="711"/>
      <c r="AB47" s="711"/>
      <c r="AC47" s="711"/>
    </row>
    <row r="48" spans="1:29" ht="15">
      <c r="A48" s="711" t="s">
        <v>1180</v>
      </c>
      <c r="B48" s="711"/>
      <c r="C48" s="711"/>
      <c r="D48" s="711"/>
      <c r="E48" s="711"/>
      <c r="F48" s="711"/>
      <c r="G48" s="711"/>
      <c r="H48" s="711"/>
      <c r="I48" s="711" t="s">
        <v>1179</v>
      </c>
      <c r="J48" s="711"/>
      <c r="K48" s="711" t="s">
        <v>1178</v>
      </c>
      <c r="L48" s="817">
        <f>(2646*C50*100)/(M44*(100-5))</f>
        <v>2.3426153524264435</v>
      </c>
      <c r="M48" s="711"/>
      <c r="N48" s="711"/>
      <c r="O48" s="711"/>
      <c r="P48" s="711"/>
      <c r="Q48" s="711"/>
      <c r="R48" s="711"/>
      <c r="S48" s="711"/>
      <c r="T48" s="711"/>
      <c r="U48" s="711"/>
      <c r="V48" s="711"/>
      <c r="W48" s="711"/>
      <c r="X48" s="711"/>
      <c r="Y48" s="711"/>
      <c r="Z48" s="711"/>
      <c r="AA48" s="711"/>
      <c r="AB48" s="711"/>
      <c r="AC48" s="711"/>
    </row>
    <row r="49" spans="1:29" ht="15">
      <c r="A49" s="711"/>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row>
    <row r="50" spans="1:29" ht="60">
      <c r="A50" s="711"/>
      <c r="B50" s="824" t="s">
        <v>1177</v>
      </c>
      <c r="C50" s="817">
        <f>V41/L42</f>
        <v>8.457059949937442</v>
      </c>
      <c r="D50" s="817">
        <f>V41*1000/L42</f>
        <v>8457.05994993744</v>
      </c>
      <c r="E50" s="711"/>
      <c r="F50" s="711"/>
      <c r="G50" s="711"/>
      <c r="H50" s="711"/>
      <c r="I50" s="711"/>
      <c r="J50" s="711"/>
      <c r="K50" s="711"/>
      <c r="L50" s="711"/>
      <c r="M50" s="824" t="s">
        <v>1877</v>
      </c>
      <c r="N50" s="711"/>
      <c r="O50" s="711"/>
      <c r="P50" s="817">
        <f>(23.25*10)/O42</f>
        <v>0.9426566626346505</v>
      </c>
      <c r="Q50" s="825" t="s">
        <v>1878</v>
      </c>
      <c r="R50" s="817">
        <f>L48+P50</f>
        <v>3.285272015061094</v>
      </c>
      <c r="S50" s="711"/>
      <c r="T50" s="711"/>
      <c r="U50" s="711"/>
      <c r="V50" s="711"/>
      <c r="W50" s="711"/>
      <c r="X50" s="711"/>
      <c r="Y50" s="711"/>
      <c r="Z50" s="711"/>
      <c r="AA50" s="711"/>
      <c r="AB50" s="711"/>
      <c r="AC50" s="711"/>
    </row>
    <row r="51" spans="1:29" ht="15">
      <c r="A51" s="711"/>
      <c r="B51" s="711"/>
      <c r="C51" s="826"/>
      <c r="D51" s="711"/>
      <c r="E51" s="711"/>
      <c r="F51" s="711"/>
      <c r="G51" s="827"/>
      <c r="H51" s="828"/>
      <c r="I51" s="727"/>
      <c r="J51" s="711"/>
      <c r="K51" s="711"/>
      <c r="L51" s="711"/>
      <c r="M51" s="711"/>
      <c r="N51" s="711"/>
      <c r="O51" s="711"/>
      <c r="P51" s="711"/>
      <c r="Q51" s="711"/>
      <c r="R51" s="711"/>
      <c r="S51" s="711"/>
      <c r="T51" s="711"/>
      <c r="U51" s="711"/>
      <c r="V51" s="711"/>
      <c r="W51" s="711"/>
      <c r="X51" s="711"/>
      <c r="Y51" s="711"/>
      <c r="Z51" s="711"/>
      <c r="AA51" s="711"/>
      <c r="AB51" s="711"/>
      <c r="AC51" s="711"/>
    </row>
  </sheetData>
  <sheetProtection/>
  <mergeCells count="38">
    <mergeCell ref="A1:Z1"/>
    <mergeCell ref="D2:G2"/>
    <mergeCell ref="H2:I2"/>
    <mergeCell ref="J2:L2"/>
    <mergeCell ref="A4:A6"/>
    <mergeCell ref="B4:B6"/>
    <mergeCell ref="A7:A8"/>
    <mergeCell ref="B7:B8"/>
    <mergeCell ref="T7:T8"/>
    <mergeCell ref="A10:A11"/>
    <mergeCell ref="B10:B11"/>
    <mergeCell ref="T10:T11"/>
    <mergeCell ref="A13:A14"/>
    <mergeCell ref="B13:B14"/>
    <mergeCell ref="T13:T14"/>
    <mergeCell ref="A16:A17"/>
    <mergeCell ref="B16:B17"/>
    <mergeCell ref="T16:T17"/>
    <mergeCell ref="A19:A20"/>
    <mergeCell ref="B19:B20"/>
    <mergeCell ref="T19:T20"/>
    <mergeCell ref="A23:A24"/>
    <mergeCell ref="B23:B24"/>
    <mergeCell ref="T23:T24"/>
    <mergeCell ref="B26:B27"/>
    <mergeCell ref="A28:A29"/>
    <mergeCell ref="B28:B29"/>
    <mergeCell ref="T28:T29"/>
    <mergeCell ref="A31:A32"/>
    <mergeCell ref="B31:B32"/>
    <mergeCell ref="T31:T32"/>
    <mergeCell ref="A46:D46"/>
    <mergeCell ref="A34:A35"/>
    <mergeCell ref="B34:B35"/>
    <mergeCell ref="T34:T35"/>
    <mergeCell ref="A37:A38"/>
    <mergeCell ref="B37:B38"/>
    <mergeCell ref="A44:J44"/>
  </mergeCells>
  <printOptions horizontalCentered="1" verticalCentered="1"/>
  <pageMargins left="0.21" right="0.16" top="0.27" bottom="0.2" header="0.3" footer="0.3"/>
  <pageSetup horizontalDpi="600" verticalDpi="600" orientation="landscape" paperSize="9" scale="50" r:id="rId1"/>
</worksheet>
</file>

<file path=xl/worksheets/sheet28.xml><?xml version="1.0" encoding="utf-8"?>
<worksheet xmlns="http://schemas.openxmlformats.org/spreadsheetml/2006/main" xmlns:r="http://schemas.openxmlformats.org/officeDocument/2006/relationships">
  <dimension ref="A1:AD51"/>
  <sheetViews>
    <sheetView zoomScalePageLayoutView="0" workbookViewId="0" topLeftCell="A10">
      <selection activeCell="I38" sqref="I38:I39"/>
    </sheetView>
  </sheetViews>
  <sheetFormatPr defaultColWidth="9.33203125" defaultRowHeight="12.75"/>
  <cols>
    <col min="1" max="1" width="4.5" style="90" customWidth="1"/>
    <col min="2" max="2" width="9.83203125" style="90" customWidth="1"/>
    <col min="3" max="3" width="12.33203125" style="90" customWidth="1"/>
    <col min="4" max="4" width="11.83203125" style="90" customWidth="1"/>
    <col min="5" max="5" width="12.33203125" style="90" customWidth="1"/>
    <col min="6" max="6" width="10.83203125" style="90" customWidth="1"/>
    <col min="7" max="7" width="11.66015625" style="90" customWidth="1"/>
    <col min="8" max="8" width="8.83203125" style="90" customWidth="1"/>
    <col min="9" max="9" width="11.66015625" style="90" customWidth="1"/>
    <col min="10" max="10" width="9.33203125" style="90" customWidth="1"/>
    <col min="11" max="11" width="9.16015625" style="90" customWidth="1"/>
    <col min="12" max="12" width="9.33203125" style="90" customWidth="1"/>
    <col min="13" max="13" width="15.66015625" style="90" customWidth="1"/>
    <col min="14" max="14" width="13.83203125" style="90" hidden="1" customWidth="1"/>
    <col min="15" max="15" width="13.5" style="90" customWidth="1"/>
    <col min="16" max="16" width="12.66015625" style="90" customWidth="1"/>
    <col min="17" max="17" width="14.6601562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4" style="90" customWidth="1"/>
    <col min="26" max="26" width="16.66015625" style="90" customWidth="1"/>
    <col min="27" max="28" width="8.66015625" style="90" customWidth="1"/>
    <col min="29" max="29" width="13.66015625" style="90" customWidth="1"/>
    <col min="30" max="16384" width="9.33203125" style="90" customWidth="1"/>
  </cols>
  <sheetData>
    <row r="1" spans="1:29" ht="21">
      <c r="A1" s="1308" t="s">
        <v>1762</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593"/>
      <c r="AB1" s="593"/>
      <c r="AC1" s="593"/>
    </row>
    <row r="2" spans="1:29" ht="60">
      <c r="A2" s="594" t="s">
        <v>1230</v>
      </c>
      <c r="B2" s="595" t="s">
        <v>1229</v>
      </c>
      <c r="C2" s="596"/>
      <c r="D2" s="1309" t="s">
        <v>1228</v>
      </c>
      <c r="E2" s="1310"/>
      <c r="F2" s="1310"/>
      <c r="G2" s="1311"/>
      <c r="H2" s="1309"/>
      <c r="I2" s="1311"/>
      <c r="J2" s="1312" t="s">
        <v>1227</v>
      </c>
      <c r="K2" s="1313"/>
      <c r="L2" s="1314"/>
      <c r="M2" s="597" t="s">
        <v>1226</v>
      </c>
      <c r="N2" s="597" t="s">
        <v>1225</v>
      </c>
      <c r="O2" s="598" t="s">
        <v>1224</v>
      </c>
      <c r="P2" s="598" t="s">
        <v>1223</v>
      </c>
      <c r="Q2" s="599" t="s">
        <v>1222</v>
      </c>
      <c r="R2" s="600" t="s">
        <v>1221</v>
      </c>
      <c r="S2" s="600" t="s">
        <v>1220</v>
      </c>
      <c r="T2" s="601" t="s">
        <v>1219</v>
      </c>
      <c r="U2" s="602" t="s">
        <v>1218</v>
      </c>
      <c r="V2" s="602" t="s">
        <v>1217</v>
      </c>
      <c r="W2" s="603" t="s">
        <v>1216</v>
      </c>
      <c r="X2" s="603" t="s">
        <v>1215</v>
      </c>
      <c r="Y2" s="603" t="s">
        <v>1214</v>
      </c>
      <c r="Z2" s="602" t="s">
        <v>1213</v>
      </c>
      <c r="AA2" s="603" t="s">
        <v>1212</v>
      </c>
      <c r="AB2" s="603" t="s">
        <v>1211</v>
      </c>
      <c r="AC2" s="604" t="s">
        <v>1763</v>
      </c>
    </row>
    <row r="3" spans="1:29" ht="45">
      <c r="A3" s="606"/>
      <c r="B3" s="606"/>
      <c r="C3" s="606"/>
      <c r="D3" s="607" t="s">
        <v>1203</v>
      </c>
      <c r="E3" s="607" t="s">
        <v>1208</v>
      </c>
      <c r="F3" s="607" t="s">
        <v>1207</v>
      </c>
      <c r="G3" s="608" t="s">
        <v>1206</v>
      </c>
      <c r="H3" s="607" t="s">
        <v>1205</v>
      </c>
      <c r="I3" s="608" t="s">
        <v>1204</v>
      </c>
      <c r="J3" s="607" t="s">
        <v>1203</v>
      </c>
      <c r="K3" s="607" t="s">
        <v>1202</v>
      </c>
      <c r="L3" s="607"/>
      <c r="M3" s="602"/>
      <c r="N3" s="602"/>
      <c r="O3" s="609"/>
      <c r="P3" s="610"/>
      <c r="Q3" s="611"/>
      <c r="R3" s="611"/>
      <c r="S3" s="611"/>
      <c r="T3" s="612"/>
      <c r="U3" s="613"/>
      <c r="V3" s="613"/>
      <c r="W3" s="613"/>
      <c r="X3" s="611"/>
      <c r="Y3" s="611"/>
      <c r="Z3" s="611"/>
      <c r="AA3" s="611"/>
      <c r="AB3" s="614"/>
      <c r="AC3" s="614"/>
    </row>
    <row r="4" spans="1:29" ht="15">
      <c r="A4" s="1299">
        <v>1</v>
      </c>
      <c r="B4" s="1300" t="s">
        <v>1764</v>
      </c>
      <c r="C4" s="615" t="s">
        <v>1189</v>
      </c>
      <c r="D4" s="616">
        <v>10059.089</v>
      </c>
      <c r="E4" s="616">
        <v>10060.84</v>
      </c>
      <c r="F4" s="617">
        <f aca="true" t="shared" si="0" ref="F4:F39">ROUND((2646*W4*100)/(U4*(100-R4)),2)</f>
        <v>2.12</v>
      </c>
      <c r="G4" s="617">
        <f aca="true" t="shared" si="1" ref="G4:G38">(Q4*F4)-Y4</f>
        <v>275319.4740000032</v>
      </c>
      <c r="H4" s="617">
        <f aca="true" t="shared" si="2" ref="H4:H39">ROUND((S4*W4*100)/(U4*95),2)</f>
        <v>2.13</v>
      </c>
      <c r="I4" s="617">
        <f aca="true" t="shared" si="3" ref="I4:I39">(Q4*H4)-Y4</f>
        <v>367092.6319999993</v>
      </c>
      <c r="J4" s="616">
        <v>2598754</v>
      </c>
      <c r="K4" s="617">
        <v>31516</v>
      </c>
      <c r="L4" s="617">
        <f>J4+K4</f>
        <v>2630270</v>
      </c>
      <c r="M4" s="618">
        <f>D4*J4+E4*K4</f>
        <v>26458175208.545998</v>
      </c>
      <c r="N4" s="618">
        <f>H4*J4+I4*K4</f>
        <v>11574826736.131977</v>
      </c>
      <c r="O4" s="619">
        <v>9804430</v>
      </c>
      <c r="P4" s="619">
        <v>627114.2</v>
      </c>
      <c r="Q4" s="619">
        <f>O4-P4</f>
        <v>9177315.8</v>
      </c>
      <c r="R4" s="620">
        <f aca="true" t="shared" si="4" ref="R4:R39">P4*100/O4</f>
        <v>6.396233131349807</v>
      </c>
      <c r="S4" s="620">
        <f aca="true" t="shared" si="5" ref="S4:S39">ROUND((M4)/O4,2)</f>
        <v>2698.59</v>
      </c>
      <c r="T4" s="621"/>
      <c r="U4" s="622">
        <f aca="true" t="shared" si="6" ref="U4:U39">M4/L4</f>
        <v>10059.109980551806</v>
      </c>
      <c r="V4" s="623">
        <v>19849277</v>
      </c>
      <c r="W4" s="624">
        <f aca="true" t="shared" si="7" ref="W4:W39">ROUND(V4/L4,3)</f>
        <v>7.546</v>
      </c>
      <c r="X4" s="622">
        <f aca="true" t="shared" si="8" ref="X4:X39">ROUND((2646*W4*100)/(U4*95),2)</f>
        <v>2.09</v>
      </c>
      <c r="Y4" s="625">
        <f aca="true" t="shared" si="9" ref="Y4:Y39">X4*Q4</f>
        <v>19180590.022</v>
      </c>
      <c r="Z4" s="626">
        <f aca="true" t="shared" si="10" ref="Z4:Z39">Y4-V4</f>
        <v>-668686.9780000001</v>
      </c>
      <c r="AA4" s="611"/>
      <c r="AB4" s="614"/>
      <c r="AC4" s="614"/>
    </row>
    <row r="5" spans="1:29" ht="15">
      <c r="A5" s="1315"/>
      <c r="B5" s="1316"/>
      <c r="C5" s="615" t="s">
        <v>1188</v>
      </c>
      <c r="D5" s="616">
        <v>10077.365</v>
      </c>
      <c r="E5" s="616">
        <v>10077.264</v>
      </c>
      <c r="F5" s="617">
        <f t="shared" si="0"/>
        <v>2.12</v>
      </c>
      <c r="G5" s="617">
        <f t="shared" si="1"/>
        <v>232293.48000000045</v>
      </c>
      <c r="H5" s="617">
        <f t="shared" si="2"/>
        <v>2.64</v>
      </c>
      <c r="I5" s="617">
        <f t="shared" si="3"/>
        <v>4258713.800000003</v>
      </c>
      <c r="J5" s="616">
        <v>2735943</v>
      </c>
      <c r="K5" s="617">
        <v>12944</v>
      </c>
      <c r="L5" s="617">
        <f>J5+K5</f>
        <v>2748887</v>
      </c>
      <c r="M5" s="618">
        <f>D5*J5+E5*K5</f>
        <v>27701536335.411</v>
      </c>
      <c r="N5" s="618">
        <f>H5*L5</f>
        <v>7257061.680000001</v>
      </c>
      <c r="O5" s="670">
        <v>8272020</v>
      </c>
      <c r="P5" s="670">
        <v>528904</v>
      </c>
      <c r="Q5" s="619">
        <f>O5-P5</f>
        <v>7743116</v>
      </c>
      <c r="R5" s="620">
        <f t="shared" si="4"/>
        <v>6.393891697553923</v>
      </c>
      <c r="S5" s="620">
        <f t="shared" si="5"/>
        <v>3348.82</v>
      </c>
      <c r="T5" s="627"/>
      <c r="U5" s="622">
        <f t="shared" si="6"/>
        <v>10077.364524409697</v>
      </c>
      <c r="V5" s="613">
        <v>20781843</v>
      </c>
      <c r="W5" s="624">
        <f t="shared" si="7"/>
        <v>7.56</v>
      </c>
      <c r="X5" s="622">
        <f t="shared" si="8"/>
        <v>2.09</v>
      </c>
      <c r="Y5" s="625">
        <f t="shared" si="9"/>
        <v>16183112.44</v>
      </c>
      <c r="Z5" s="626">
        <f t="shared" si="10"/>
        <v>-4598730.5600000005</v>
      </c>
      <c r="AA5" s="611"/>
      <c r="AB5" s="614"/>
      <c r="AC5" s="614"/>
    </row>
    <row r="6" spans="1:29" ht="15">
      <c r="A6" s="1302"/>
      <c r="B6" s="1301"/>
      <c r="C6" s="615" t="s">
        <v>1187</v>
      </c>
      <c r="D6" s="616"/>
      <c r="E6" s="616"/>
      <c r="F6" s="617">
        <f t="shared" si="0"/>
        <v>2.65</v>
      </c>
      <c r="G6" s="617">
        <f t="shared" si="1"/>
        <v>676817.2719999999</v>
      </c>
      <c r="H6" s="617">
        <f t="shared" si="2"/>
        <v>2.95</v>
      </c>
      <c r="I6" s="617">
        <f t="shared" si="3"/>
        <v>5752946.811999999</v>
      </c>
      <c r="J6" s="616"/>
      <c r="K6" s="617"/>
      <c r="L6" s="628">
        <f>SUM(L4:L5)</f>
        <v>5379157</v>
      </c>
      <c r="M6" s="629">
        <f>SUM(M4:M5)</f>
        <v>54159711543.957</v>
      </c>
      <c r="N6" s="618"/>
      <c r="O6" s="672">
        <v>18076450</v>
      </c>
      <c r="P6" s="672">
        <v>1156018.2</v>
      </c>
      <c r="Q6" s="619">
        <f>O6-P6</f>
        <v>16920431.8</v>
      </c>
      <c r="R6" s="620">
        <f t="shared" si="4"/>
        <v>6.395161660613671</v>
      </c>
      <c r="S6" s="631">
        <f t="shared" si="5"/>
        <v>2996.15</v>
      </c>
      <c r="T6" s="632"/>
      <c r="U6" s="622">
        <f t="shared" si="6"/>
        <v>10068.438520005458</v>
      </c>
      <c r="V6" s="633">
        <f>48520502+2203334</f>
        <v>50723836</v>
      </c>
      <c r="W6" s="624">
        <f t="shared" si="7"/>
        <v>9.43</v>
      </c>
      <c r="X6" s="622">
        <f t="shared" si="8"/>
        <v>2.61</v>
      </c>
      <c r="Y6" s="623">
        <f t="shared" si="9"/>
        <v>44162326.998</v>
      </c>
      <c r="Z6" s="633">
        <f t="shared" si="10"/>
        <v>-6561509.001999997</v>
      </c>
      <c r="AA6" s="634">
        <f>O6*100/(780000*30)</f>
        <v>77.24978632478633</v>
      </c>
      <c r="AB6" s="614">
        <v>30</v>
      </c>
      <c r="AC6" s="614">
        <v>51335339</v>
      </c>
    </row>
    <row r="7" spans="1:30" ht="15">
      <c r="A7" s="1299">
        <v>2</v>
      </c>
      <c r="B7" s="1303" t="s">
        <v>1765</v>
      </c>
      <c r="C7" s="615" t="s">
        <v>1189</v>
      </c>
      <c r="D7" s="635">
        <v>10056.403</v>
      </c>
      <c r="E7" s="635">
        <v>10063.112</v>
      </c>
      <c r="F7" s="617">
        <f t="shared" si="0"/>
        <v>2.09</v>
      </c>
      <c r="G7" s="617">
        <f t="shared" si="1"/>
        <v>341888.73600000143</v>
      </c>
      <c r="H7" s="617">
        <f t="shared" si="2"/>
        <v>2.35</v>
      </c>
      <c r="I7" s="617">
        <f t="shared" si="3"/>
        <v>2564165.5200000033</v>
      </c>
      <c r="J7" s="635">
        <v>2737061</v>
      </c>
      <c r="K7" s="636">
        <v>22503</v>
      </c>
      <c r="L7" s="637">
        <f>+J7+K7</f>
        <v>2759564</v>
      </c>
      <c r="M7" s="636">
        <f>D7*J7+E7*K7</f>
        <v>27751438660.919</v>
      </c>
      <c r="N7" s="636">
        <f>H7*L7</f>
        <v>6484975.4</v>
      </c>
      <c r="O7" s="664">
        <v>9169690</v>
      </c>
      <c r="P7" s="664">
        <v>622471.6</v>
      </c>
      <c r="Q7" s="619">
        <f>O7-P7</f>
        <v>8547218.4</v>
      </c>
      <c r="R7" s="620">
        <f t="shared" si="4"/>
        <v>6.788360348059749</v>
      </c>
      <c r="S7" s="620">
        <f t="shared" si="5"/>
        <v>3026.43</v>
      </c>
      <c r="T7" s="1306"/>
      <c r="U7" s="622">
        <f t="shared" si="6"/>
        <v>10056.45770886959</v>
      </c>
      <c r="V7" s="613">
        <v>20437585</v>
      </c>
      <c r="W7" s="624">
        <f t="shared" si="7"/>
        <v>7.406</v>
      </c>
      <c r="X7" s="622">
        <f t="shared" si="8"/>
        <v>2.05</v>
      </c>
      <c r="Y7" s="625">
        <f t="shared" si="9"/>
        <v>17521797.72</v>
      </c>
      <c r="Z7" s="639">
        <f t="shared" si="10"/>
        <v>-2915787.280000001</v>
      </c>
      <c r="AA7" s="622"/>
      <c r="AB7" s="613"/>
      <c r="AC7" s="613"/>
      <c r="AD7" s="90">
        <v>6408334</v>
      </c>
    </row>
    <row r="8" spans="1:29" ht="15">
      <c r="A8" s="1302"/>
      <c r="B8" s="1304"/>
      <c r="C8" s="615" t="s">
        <v>1188</v>
      </c>
      <c r="D8" s="635">
        <v>10052.16</v>
      </c>
      <c r="E8" s="635">
        <v>10057.562</v>
      </c>
      <c r="F8" s="617">
        <f t="shared" si="0"/>
        <v>2.09</v>
      </c>
      <c r="G8" s="617">
        <f t="shared" si="1"/>
        <v>372932.9600000009</v>
      </c>
      <c r="H8" s="617">
        <f t="shared" si="2"/>
        <v>2.28</v>
      </c>
      <c r="I8" s="617">
        <f t="shared" si="3"/>
        <v>2144364.5199999996</v>
      </c>
      <c r="J8" s="635">
        <v>2922307</v>
      </c>
      <c r="K8" s="635">
        <v>10030</v>
      </c>
      <c r="L8" s="637">
        <f>+J8+K8</f>
        <v>2932337</v>
      </c>
      <c r="M8" s="636">
        <f>D8*J8+E8*K8</f>
        <v>29476374879.98</v>
      </c>
      <c r="N8" s="636">
        <f>H8*L8</f>
        <v>6685728.359999999</v>
      </c>
      <c r="O8" s="698">
        <v>10000380</v>
      </c>
      <c r="P8" s="698">
        <v>677056</v>
      </c>
      <c r="Q8" s="619">
        <f aca="true" t="shared" si="11" ref="Q8:Q21">O8-P8</f>
        <v>9323324</v>
      </c>
      <c r="R8" s="620">
        <f t="shared" si="4"/>
        <v>6.7703027284963175</v>
      </c>
      <c r="S8" s="620">
        <f t="shared" si="5"/>
        <v>2947.53</v>
      </c>
      <c r="T8" s="1307"/>
      <c r="U8" s="622">
        <f t="shared" si="6"/>
        <v>10052.178477432846</v>
      </c>
      <c r="V8" s="613">
        <v>21707921</v>
      </c>
      <c r="W8" s="624">
        <f t="shared" si="7"/>
        <v>7.403</v>
      </c>
      <c r="X8" s="622">
        <f t="shared" si="8"/>
        <v>2.05</v>
      </c>
      <c r="Y8" s="625">
        <f t="shared" si="9"/>
        <v>19112814.2</v>
      </c>
      <c r="Z8" s="639">
        <f t="shared" si="10"/>
        <v>-2595106.8000000007</v>
      </c>
      <c r="AA8" s="622"/>
      <c r="AB8" s="613"/>
      <c r="AC8" s="613"/>
    </row>
    <row r="9" spans="1:29" ht="15">
      <c r="A9" s="640"/>
      <c r="B9" s="641"/>
      <c r="C9" s="615" t="s">
        <v>1187</v>
      </c>
      <c r="D9" s="642"/>
      <c r="E9" s="642"/>
      <c r="F9" s="617">
        <f t="shared" si="0"/>
        <v>2.2</v>
      </c>
      <c r="G9" s="617">
        <f t="shared" si="1"/>
        <v>714821.6960000023</v>
      </c>
      <c r="H9" s="617">
        <f t="shared" si="2"/>
        <v>2.44</v>
      </c>
      <c r="I9" s="617">
        <f t="shared" si="3"/>
        <v>5003751.871999994</v>
      </c>
      <c r="J9" s="642"/>
      <c r="K9" s="635"/>
      <c r="L9" s="637">
        <f>SUM(L7:L8)</f>
        <v>5691901</v>
      </c>
      <c r="M9" s="644">
        <f>SUM(M7:M8)</f>
        <v>57227813540.899</v>
      </c>
      <c r="N9" s="636"/>
      <c r="O9" s="699">
        <v>19170070</v>
      </c>
      <c r="P9" s="699">
        <v>1299527.6</v>
      </c>
      <c r="Q9" s="645">
        <f t="shared" si="11"/>
        <v>17870542.4</v>
      </c>
      <c r="R9" s="620">
        <f t="shared" si="4"/>
        <v>6.77894029599266</v>
      </c>
      <c r="S9" s="631">
        <f t="shared" si="5"/>
        <v>2985.27</v>
      </c>
      <c r="T9" s="646"/>
      <c r="U9" s="622">
        <f t="shared" si="6"/>
        <v>10054.253146865873</v>
      </c>
      <c r="V9" s="633">
        <f>V7+V8+2203334</f>
        <v>44348840</v>
      </c>
      <c r="W9" s="624">
        <f t="shared" si="7"/>
        <v>7.792</v>
      </c>
      <c r="X9" s="622">
        <f t="shared" si="8"/>
        <v>2.16</v>
      </c>
      <c r="Y9" s="623">
        <f t="shared" si="9"/>
        <v>38600371.584</v>
      </c>
      <c r="Z9" s="633">
        <f t="shared" si="10"/>
        <v>-5748468.416000001</v>
      </c>
      <c r="AA9" s="701">
        <f>O9*100/(780000*31)</f>
        <v>79.2806865177833</v>
      </c>
      <c r="AB9" s="613">
        <v>31</v>
      </c>
      <c r="AC9" s="613">
        <v>53124590</v>
      </c>
    </row>
    <row r="10" spans="1:30" ht="15">
      <c r="A10" s="1299">
        <v>3</v>
      </c>
      <c r="B10" s="1303" t="s">
        <v>1766</v>
      </c>
      <c r="C10" s="615" t="s">
        <v>1189</v>
      </c>
      <c r="D10" s="647">
        <v>10125.223</v>
      </c>
      <c r="E10" s="647">
        <v>10101.77</v>
      </c>
      <c r="F10" s="617">
        <f t="shared" si="0"/>
        <v>2.09</v>
      </c>
      <c r="G10" s="617">
        <f t="shared" si="1"/>
        <v>347840</v>
      </c>
      <c r="H10" s="617">
        <f t="shared" si="2"/>
        <v>2.29</v>
      </c>
      <c r="I10" s="617">
        <f t="shared" si="3"/>
        <v>2087040</v>
      </c>
      <c r="J10" s="647">
        <v>2715926</v>
      </c>
      <c r="K10" s="635">
        <v>2759</v>
      </c>
      <c r="L10" s="637">
        <f aca="true" t="shared" si="12" ref="L10:L16">+J10+K10</f>
        <v>2718685</v>
      </c>
      <c r="M10" s="636">
        <f>D10*J10+E10*K10</f>
        <v>27527227184.928</v>
      </c>
      <c r="N10" s="636">
        <f>H10*L10</f>
        <v>6225788.65</v>
      </c>
      <c r="O10" s="664">
        <v>9319030</v>
      </c>
      <c r="P10" s="664">
        <v>623030</v>
      </c>
      <c r="Q10" s="700">
        <f t="shared" si="11"/>
        <v>8696000</v>
      </c>
      <c r="R10" s="620">
        <f t="shared" si="4"/>
        <v>6.685567060091018</v>
      </c>
      <c r="S10" s="620">
        <f t="shared" si="5"/>
        <v>2953.87</v>
      </c>
      <c r="T10" s="1306"/>
      <c r="U10" s="622">
        <f t="shared" si="6"/>
        <v>10125.199199218741</v>
      </c>
      <c r="V10" s="613">
        <v>20248064</v>
      </c>
      <c r="W10" s="624">
        <f t="shared" si="7"/>
        <v>7.448</v>
      </c>
      <c r="X10" s="622">
        <f t="shared" si="8"/>
        <v>2.05</v>
      </c>
      <c r="Y10" s="625">
        <f t="shared" si="9"/>
        <v>17826800</v>
      </c>
      <c r="Z10" s="639">
        <f t="shared" si="10"/>
        <v>-2421264</v>
      </c>
      <c r="AA10" s="622"/>
      <c r="AB10" s="613"/>
      <c r="AC10" s="613"/>
      <c r="AD10" s="90">
        <v>6408334</v>
      </c>
    </row>
    <row r="11" spans="1:29" ht="15">
      <c r="A11" s="1302"/>
      <c r="B11" s="1304"/>
      <c r="C11" s="615" t="s">
        <v>1188</v>
      </c>
      <c r="D11" s="647">
        <v>10089.701</v>
      </c>
      <c r="E11" s="647">
        <v>10092.267</v>
      </c>
      <c r="F11" s="617">
        <f t="shared" si="0"/>
        <v>2.09</v>
      </c>
      <c r="G11" s="617">
        <f t="shared" si="1"/>
        <v>352400</v>
      </c>
      <c r="H11" s="617">
        <f t="shared" si="2"/>
        <v>2.15</v>
      </c>
      <c r="I11" s="617">
        <f t="shared" si="3"/>
        <v>881000</v>
      </c>
      <c r="J11" s="635">
        <v>2570640</v>
      </c>
      <c r="K11" s="635">
        <v>30024</v>
      </c>
      <c r="L11" s="637">
        <f t="shared" si="12"/>
        <v>2600664</v>
      </c>
      <c r="M11" s="636">
        <f>D11*J11+E11*K11</f>
        <v>26239999203.048</v>
      </c>
      <c r="N11" s="636">
        <f>H11*L11</f>
        <v>5591427.6</v>
      </c>
      <c r="O11" s="698">
        <v>9449920</v>
      </c>
      <c r="P11" s="698">
        <v>639920</v>
      </c>
      <c r="Q11" s="700">
        <f t="shared" si="11"/>
        <v>8810000</v>
      </c>
      <c r="R11" s="620">
        <f t="shared" si="4"/>
        <v>6.771697538180217</v>
      </c>
      <c r="S11" s="620">
        <f t="shared" si="5"/>
        <v>2776.74</v>
      </c>
      <c r="T11" s="1307"/>
      <c r="U11" s="622">
        <f t="shared" si="6"/>
        <v>10089.730623812995</v>
      </c>
      <c r="V11" s="613">
        <v>19301168</v>
      </c>
      <c r="W11" s="624">
        <f t="shared" si="7"/>
        <v>7.422</v>
      </c>
      <c r="X11" s="622">
        <f t="shared" si="8"/>
        <v>2.05</v>
      </c>
      <c r="Y11" s="625">
        <f t="shared" si="9"/>
        <v>18060500</v>
      </c>
      <c r="Z11" s="639">
        <f t="shared" si="10"/>
        <v>-1240668</v>
      </c>
      <c r="AA11" s="622"/>
      <c r="AB11" s="613"/>
      <c r="AC11" s="613"/>
    </row>
    <row r="12" spans="1:29" ht="15">
      <c r="A12" s="640"/>
      <c r="B12" s="641"/>
      <c r="C12" s="615" t="s">
        <v>1187</v>
      </c>
      <c r="D12" s="648"/>
      <c r="E12" s="648"/>
      <c r="F12" s="617">
        <f t="shared" si="0"/>
        <v>2.09</v>
      </c>
      <c r="G12" s="617">
        <f t="shared" si="1"/>
        <v>700240</v>
      </c>
      <c r="H12" s="617">
        <f t="shared" si="2"/>
        <v>2.22</v>
      </c>
      <c r="I12" s="617">
        <f t="shared" si="3"/>
        <v>2976020</v>
      </c>
      <c r="J12" s="635"/>
      <c r="K12" s="635"/>
      <c r="L12" s="637">
        <f>SUM(L10:L11)</f>
        <v>5319349</v>
      </c>
      <c r="M12" s="644">
        <f>SUM(M10:M11)</f>
        <v>53767226387.976</v>
      </c>
      <c r="N12" s="636">
        <f>H12*L12</f>
        <v>11808954.780000001</v>
      </c>
      <c r="O12" s="699">
        <v>18768950</v>
      </c>
      <c r="P12" s="699">
        <v>1262950</v>
      </c>
      <c r="Q12" s="645">
        <f t="shared" si="11"/>
        <v>17506000</v>
      </c>
      <c r="R12" s="620">
        <f t="shared" si="4"/>
        <v>6.728932625426569</v>
      </c>
      <c r="S12" s="631">
        <f t="shared" si="5"/>
        <v>2864.69</v>
      </c>
      <c r="T12" s="649"/>
      <c r="U12" s="622">
        <f t="shared" si="6"/>
        <v>10107.858384169942</v>
      </c>
      <c r="V12" s="633">
        <f>SUM(V10+V11)</f>
        <v>39549232</v>
      </c>
      <c r="W12" s="624">
        <f t="shared" si="7"/>
        <v>7.435</v>
      </c>
      <c r="X12" s="622">
        <f t="shared" si="8"/>
        <v>2.05</v>
      </c>
      <c r="Y12" s="623">
        <f t="shared" si="9"/>
        <v>35887300</v>
      </c>
      <c r="Z12" s="633">
        <f t="shared" si="10"/>
        <v>-3661932</v>
      </c>
      <c r="AA12" s="701">
        <f>O12*100/(780000*30)</f>
        <v>80.20918803418803</v>
      </c>
      <c r="AB12" s="613">
        <v>30</v>
      </c>
      <c r="AC12" s="613">
        <v>52553246</v>
      </c>
    </row>
    <row r="13" spans="1:30" ht="15">
      <c r="A13" s="1299">
        <v>4</v>
      </c>
      <c r="B13" s="1300" t="s">
        <v>1767</v>
      </c>
      <c r="C13" s="615" t="s">
        <v>1189</v>
      </c>
      <c r="D13" s="635">
        <v>10098.329</v>
      </c>
      <c r="E13" s="635">
        <v>10103.808</v>
      </c>
      <c r="F13" s="642">
        <f t="shared" si="0"/>
        <v>2.12</v>
      </c>
      <c r="G13" s="617">
        <f t="shared" si="1"/>
        <v>354480</v>
      </c>
      <c r="H13" s="650">
        <f t="shared" si="2"/>
        <v>2.36</v>
      </c>
      <c r="I13" s="617">
        <f t="shared" si="3"/>
        <v>2481360</v>
      </c>
      <c r="J13" s="635">
        <v>2751838</v>
      </c>
      <c r="K13" s="635">
        <v>66088</v>
      </c>
      <c r="L13" s="637">
        <f t="shared" si="12"/>
        <v>2817926</v>
      </c>
      <c r="M13" s="636">
        <f>D13*J13+E13*K13</f>
        <v>28456705941.806</v>
      </c>
      <c r="N13" s="636">
        <f>H13*L13</f>
        <v>6650305.359999999</v>
      </c>
      <c r="O13" s="664">
        <v>9501470</v>
      </c>
      <c r="P13" s="664">
        <v>639470</v>
      </c>
      <c r="Q13" s="700">
        <f t="shared" si="11"/>
        <v>8862000</v>
      </c>
      <c r="R13" s="651">
        <f t="shared" si="4"/>
        <v>6.730221744635304</v>
      </c>
      <c r="S13" s="651">
        <f t="shared" si="5"/>
        <v>2994.98</v>
      </c>
      <c r="T13" s="1305"/>
      <c r="U13" s="622">
        <f t="shared" si="6"/>
        <v>10098.457497395602</v>
      </c>
      <c r="V13" s="613">
        <v>21297987</v>
      </c>
      <c r="W13" s="624">
        <f t="shared" si="7"/>
        <v>7.558</v>
      </c>
      <c r="X13" s="622">
        <f t="shared" si="8"/>
        <v>2.08</v>
      </c>
      <c r="Y13" s="625">
        <f t="shared" si="9"/>
        <v>18432960</v>
      </c>
      <c r="Z13" s="639">
        <f t="shared" si="10"/>
        <v>-2865027</v>
      </c>
      <c r="AA13" s="622"/>
      <c r="AB13" s="613"/>
      <c r="AC13" s="613"/>
      <c r="AD13" s="90">
        <v>6408334</v>
      </c>
    </row>
    <row r="14" spans="1:29" ht="15">
      <c r="A14" s="1302"/>
      <c r="B14" s="1301"/>
      <c r="C14" s="615" t="s">
        <v>1188</v>
      </c>
      <c r="D14" s="652">
        <v>10069.441</v>
      </c>
      <c r="E14" s="652">
        <v>10068.355</v>
      </c>
      <c r="F14" s="642">
        <f t="shared" si="0"/>
        <v>2.13</v>
      </c>
      <c r="G14" s="617">
        <f t="shared" si="1"/>
        <v>431743.5799999982</v>
      </c>
      <c r="H14" s="650">
        <f t="shared" si="2"/>
        <v>2.72</v>
      </c>
      <c r="I14" s="617">
        <f t="shared" si="3"/>
        <v>5526317.824000001</v>
      </c>
      <c r="J14" s="635">
        <v>3121908</v>
      </c>
      <c r="K14" s="635">
        <v>58369</v>
      </c>
      <c r="L14" s="637">
        <f t="shared" si="12"/>
        <v>3180277</v>
      </c>
      <c r="M14" s="636">
        <f>D14*J14+E14*K14</f>
        <v>32023548226.423</v>
      </c>
      <c r="N14" s="636">
        <f>H14*L14</f>
        <v>8650353.440000001</v>
      </c>
      <c r="O14" s="698">
        <v>9279940</v>
      </c>
      <c r="P14" s="698">
        <v>645068.4</v>
      </c>
      <c r="Q14" s="700">
        <f t="shared" si="11"/>
        <v>8634871.6</v>
      </c>
      <c r="R14" s="651">
        <f t="shared" si="4"/>
        <v>6.951213046636077</v>
      </c>
      <c r="S14" s="651">
        <f t="shared" si="5"/>
        <v>3450.84</v>
      </c>
      <c r="T14" s="1305"/>
      <c r="U14" s="622">
        <f t="shared" si="6"/>
        <v>10069.421068172049</v>
      </c>
      <c r="V14" s="613">
        <v>23970509</v>
      </c>
      <c r="W14" s="624">
        <f t="shared" si="7"/>
        <v>7.537</v>
      </c>
      <c r="X14" s="622">
        <f t="shared" si="8"/>
        <v>2.08</v>
      </c>
      <c r="Y14" s="613">
        <f t="shared" si="9"/>
        <v>17960532.928</v>
      </c>
      <c r="Z14" s="613">
        <f t="shared" si="10"/>
        <v>-6009976.072000001</v>
      </c>
      <c r="AA14" s="622"/>
      <c r="AB14" s="613"/>
      <c r="AC14" s="613"/>
    </row>
    <row r="15" spans="1:29" ht="15">
      <c r="A15" s="640"/>
      <c r="B15" s="653"/>
      <c r="C15" s="615" t="s">
        <v>1187</v>
      </c>
      <c r="D15" s="652"/>
      <c r="E15" s="652"/>
      <c r="F15" s="642">
        <f t="shared" si="0"/>
        <v>2.12</v>
      </c>
      <c r="G15" s="617">
        <f t="shared" si="1"/>
        <v>725625.6639999971</v>
      </c>
      <c r="H15" s="650">
        <f t="shared" si="2"/>
        <v>2.45</v>
      </c>
      <c r="I15" s="617">
        <f t="shared" si="3"/>
        <v>6712037.392000005</v>
      </c>
      <c r="J15" s="635"/>
      <c r="K15" s="635"/>
      <c r="L15" s="637">
        <f>SUM(L13:L14)</f>
        <v>5998203</v>
      </c>
      <c r="M15" s="644">
        <f>SUM(M13:M14)</f>
        <v>60480254168.229004</v>
      </c>
      <c r="N15" s="636">
        <f>SUM(N13:N14)</f>
        <v>15300658.8</v>
      </c>
      <c r="O15" s="644">
        <v>19425180</v>
      </c>
      <c r="P15" s="705">
        <v>1284538.4</v>
      </c>
      <c r="Q15" s="645">
        <f t="shared" si="11"/>
        <v>18140641.6</v>
      </c>
      <c r="R15" s="651">
        <f t="shared" si="4"/>
        <v>6.6127490195715035</v>
      </c>
      <c r="S15" s="654">
        <f t="shared" si="5"/>
        <v>3113.5</v>
      </c>
      <c r="T15" s="655"/>
      <c r="U15" s="622">
        <f t="shared" si="6"/>
        <v>10083.062238511935</v>
      </c>
      <c r="V15" s="633">
        <f>V14+V13</f>
        <v>45268496</v>
      </c>
      <c r="W15" s="624">
        <f t="shared" si="7"/>
        <v>7.547</v>
      </c>
      <c r="X15" s="622">
        <f t="shared" si="8"/>
        <v>2.08</v>
      </c>
      <c r="Y15" s="656">
        <f t="shared" si="9"/>
        <v>37732534.528000005</v>
      </c>
      <c r="Z15" s="657">
        <f t="shared" si="10"/>
        <v>-7535961.471999995</v>
      </c>
      <c r="AA15" s="706">
        <f>O15*100/(780000*31)</f>
        <v>80.33573200992556</v>
      </c>
      <c r="AB15" s="613">
        <v>31</v>
      </c>
      <c r="AC15" s="613">
        <v>54491296</v>
      </c>
    </row>
    <row r="16" spans="1:30" ht="15">
      <c r="A16" s="1299">
        <v>5</v>
      </c>
      <c r="B16" s="1303" t="s">
        <v>1768</v>
      </c>
      <c r="C16" s="615" t="s">
        <v>1189</v>
      </c>
      <c r="D16" s="652">
        <v>10057.541</v>
      </c>
      <c r="E16" s="652">
        <v>10060.917</v>
      </c>
      <c r="F16" s="642">
        <f t="shared" si="0"/>
        <v>2.13</v>
      </c>
      <c r="G16" s="617">
        <f t="shared" si="1"/>
        <v>332532.80000000075</v>
      </c>
      <c r="H16" s="650">
        <f t="shared" si="2"/>
        <v>2.34</v>
      </c>
      <c r="I16" s="617">
        <f t="shared" si="3"/>
        <v>2078330</v>
      </c>
      <c r="J16" s="635">
        <v>2575567</v>
      </c>
      <c r="K16" s="636">
        <v>59569</v>
      </c>
      <c r="L16" s="637">
        <f t="shared" si="12"/>
        <v>2635136</v>
      </c>
      <c r="M16" s="636">
        <f>D16*J16+E16*K16</f>
        <v>26503189465.519997</v>
      </c>
      <c r="N16" s="636">
        <f>G16*K16+H16*L16</f>
        <v>19814812581.440044</v>
      </c>
      <c r="O16" s="664">
        <v>8918100</v>
      </c>
      <c r="P16" s="664">
        <v>604780</v>
      </c>
      <c r="Q16" s="700">
        <f t="shared" si="11"/>
        <v>8313320</v>
      </c>
      <c r="R16" s="651">
        <f t="shared" si="4"/>
        <v>6.781489330687029</v>
      </c>
      <c r="S16" s="651">
        <f t="shared" si="5"/>
        <v>2971.84</v>
      </c>
      <c r="T16" s="1306"/>
      <c r="U16" s="622">
        <f t="shared" si="6"/>
        <v>10057.61731672293</v>
      </c>
      <c r="V16" s="613">
        <v>19841613</v>
      </c>
      <c r="W16" s="624">
        <f t="shared" si="7"/>
        <v>7.53</v>
      </c>
      <c r="X16" s="622">
        <f t="shared" si="8"/>
        <v>2.09</v>
      </c>
      <c r="Y16" s="656">
        <f t="shared" si="9"/>
        <v>17374838.799999997</v>
      </c>
      <c r="Z16" s="613">
        <f t="shared" si="10"/>
        <v>-2466774.200000003</v>
      </c>
      <c r="AA16" s="622"/>
      <c r="AB16" s="613"/>
      <c r="AC16" s="613"/>
      <c r="AD16" s="90">
        <v>6408334</v>
      </c>
    </row>
    <row r="17" spans="1:29" ht="15">
      <c r="A17" s="1302"/>
      <c r="B17" s="1304"/>
      <c r="C17" s="615" t="s">
        <v>1188</v>
      </c>
      <c r="D17" s="635">
        <v>10059.779</v>
      </c>
      <c r="E17" s="635">
        <v>10071.165</v>
      </c>
      <c r="F17" s="642">
        <f t="shared" si="0"/>
        <v>2.13</v>
      </c>
      <c r="G17" s="617">
        <f t="shared" si="1"/>
        <v>333898.47200000286</v>
      </c>
      <c r="H17" s="650">
        <f t="shared" si="2"/>
        <v>2.47</v>
      </c>
      <c r="I17" s="617">
        <f t="shared" si="3"/>
        <v>3172035.484000005</v>
      </c>
      <c r="J17" s="635">
        <v>2728608</v>
      </c>
      <c r="K17" s="635">
        <v>68271</v>
      </c>
      <c r="L17" s="637">
        <f>SUM(J17+K17)</f>
        <v>2796879</v>
      </c>
      <c r="M17" s="636">
        <f>D17*J17+E17*K17</f>
        <v>28136761963.347</v>
      </c>
      <c r="N17" s="636">
        <f>H17*L17</f>
        <v>6908291.130000001</v>
      </c>
      <c r="O17" s="698">
        <v>8972270</v>
      </c>
      <c r="P17" s="698">
        <v>624808.2</v>
      </c>
      <c r="Q17" s="700">
        <f t="shared" si="11"/>
        <v>8347461.8</v>
      </c>
      <c r="R17" s="651">
        <f t="shared" si="4"/>
        <v>6.963769480856015</v>
      </c>
      <c r="S17" s="651">
        <f t="shared" si="5"/>
        <v>3135.97</v>
      </c>
      <c r="T17" s="1307"/>
      <c r="U17" s="622">
        <f t="shared" si="6"/>
        <v>10060.056928936503</v>
      </c>
      <c r="V17" s="613">
        <v>21064594</v>
      </c>
      <c r="W17" s="624">
        <f t="shared" si="7"/>
        <v>7.531</v>
      </c>
      <c r="X17" s="622">
        <f t="shared" si="8"/>
        <v>2.09</v>
      </c>
      <c r="Y17" s="656">
        <f t="shared" si="9"/>
        <v>17446195.161999997</v>
      </c>
      <c r="Z17" s="613">
        <f t="shared" si="10"/>
        <v>-3618398.8380000032</v>
      </c>
      <c r="AA17" s="622"/>
      <c r="AB17" s="613"/>
      <c r="AC17" s="613"/>
    </row>
    <row r="18" spans="1:29" ht="15">
      <c r="A18" s="640"/>
      <c r="B18" s="641"/>
      <c r="C18" s="615" t="s">
        <v>1187</v>
      </c>
      <c r="D18" s="635"/>
      <c r="E18" s="635"/>
      <c r="F18" s="642">
        <f t="shared" si="0"/>
        <v>2.12</v>
      </c>
      <c r="G18" s="617">
        <f t="shared" si="1"/>
        <v>518636.7540000081</v>
      </c>
      <c r="H18" s="650">
        <f t="shared" si="2"/>
        <v>2.33</v>
      </c>
      <c r="I18" s="617">
        <f t="shared" si="3"/>
        <v>4149094.0320000052</v>
      </c>
      <c r="J18" s="642"/>
      <c r="K18" s="635"/>
      <c r="L18" s="637">
        <f>SUM(L16:L17)</f>
        <v>5432015</v>
      </c>
      <c r="M18" s="658">
        <f>SUM(M16:M17)</f>
        <v>54639951428.867</v>
      </c>
      <c r="N18" s="659">
        <f>SUM(N16:N17)</f>
        <v>19821720872.570045</v>
      </c>
      <c r="O18" s="658">
        <v>18517480</v>
      </c>
      <c r="P18" s="707">
        <v>1229588.2</v>
      </c>
      <c r="Q18" s="645">
        <f t="shared" si="11"/>
        <v>17287891.8</v>
      </c>
      <c r="R18" s="651">
        <f t="shared" si="4"/>
        <v>6.640148659536827</v>
      </c>
      <c r="S18" s="654">
        <f t="shared" si="5"/>
        <v>2950.72</v>
      </c>
      <c r="T18" s="649"/>
      <c r="U18" s="622">
        <f t="shared" si="6"/>
        <v>10058.87344362396</v>
      </c>
      <c r="V18" s="633">
        <f>V16+V17</f>
        <v>40906207</v>
      </c>
      <c r="W18" s="624">
        <f t="shared" si="7"/>
        <v>7.531</v>
      </c>
      <c r="X18" s="622">
        <f t="shared" si="8"/>
        <v>2.09</v>
      </c>
      <c r="Y18" s="656">
        <f t="shared" si="9"/>
        <v>36131693.861999996</v>
      </c>
      <c r="Z18" s="657">
        <f t="shared" si="10"/>
        <v>-4774513.138000004</v>
      </c>
      <c r="AA18" s="706">
        <f>O18*100/(780000*31)</f>
        <v>76.58180314309347</v>
      </c>
      <c r="AB18" s="613">
        <v>31</v>
      </c>
      <c r="AC18" s="613">
        <v>51845133</v>
      </c>
    </row>
    <row r="19" spans="1:30" ht="15">
      <c r="A19" s="1299">
        <v>6</v>
      </c>
      <c r="B19" s="1303" t="s">
        <v>1242</v>
      </c>
      <c r="C19" s="615" t="s">
        <v>1189</v>
      </c>
      <c r="D19" s="647">
        <v>10046.476</v>
      </c>
      <c r="E19" s="647">
        <v>10043.606</v>
      </c>
      <c r="F19" s="642" t="e">
        <f t="shared" si="0"/>
        <v>#DIV/0!</v>
      </c>
      <c r="G19" s="617" t="e">
        <f t="shared" si="1"/>
        <v>#DIV/0!</v>
      </c>
      <c r="H19" s="650" t="e">
        <f t="shared" si="2"/>
        <v>#DIV/0!</v>
      </c>
      <c r="I19" s="617" t="e">
        <f t="shared" si="3"/>
        <v>#DIV/0!</v>
      </c>
      <c r="J19" s="648">
        <v>2730612</v>
      </c>
      <c r="K19" s="635">
        <v>55860</v>
      </c>
      <c r="L19" s="637">
        <f>J19+K19</f>
        <v>2786472</v>
      </c>
      <c r="M19" s="636">
        <f>D19*J19+E19*K19</f>
        <v>27994063754.472</v>
      </c>
      <c r="N19" s="636"/>
      <c r="O19" s="664"/>
      <c r="P19" s="664"/>
      <c r="Q19" s="645">
        <f t="shared" si="11"/>
        <v>0</v>
      </c>
      <c r="R19" s="651" t="e">
        <f t="shared" si="4"/>
        <v>#DIV/0!</v>
      </c>
      <c r="S19" s="654" t="e">
        <f t="shared" si="5"/>
        <v>#DIV/0!</v>
      </c>
      <c r="T19" s="1305"/>
      <c r="U19" s="622">
        <f t="shared" si="6"/>
        <v>10046.4184655263</v>
      </c>
      <c r="V19" s="633">
        <v>20820633.73</v>
      </c>
      <c r="W19" s="624">
        <f t="shared" si="7"/>
        <v>7.472</v>
      </c>
      <c r="X19" s="622">
        <f t="shared" si="8"/>
        <v>2.07</v>
      </c>
      <c r="Y19" s="656">
        <f t="shared" si="9"/>
        <v>0</v>
      </c>
      <c r="Z19" s="657">
        <f t="shared" si="10"/>
        <v>-20820633.73</v>
      </c>
      <c r="AA19" s="706">
        <f>O19*100/(780000*30)</f>
        <v>0</v>
      </c>
      <c r="AB19" s="613"/>
      <c r="AC19" s="613"/>
      <c r="AD19" s="90">
        <v>6408334</v>
      </c>
    </row>
    <row r="20" spans="1:29" ht="15">
      <c r="A20" s="1302"/>
      <c r="B20" s="1304"/>
      <c r="C20" s="615" t="s">
        <v>1188</v>
      </c>
      <c r="D20" s="648">
        <v>10037.701</v>
      </c>
      <c r="E20" s="648">
        <v>10041.321</v>
      </c>
      <c r="F20" s="642" t="e">
        <f t="shared" si="0"/>
        <v>#DIV/0!</v>
      </c>
      <c r="G20" s="617" t="e">
        <f t="shared" si="1"/>
        <v>#DIV/0!</v>
      </c>
      <c r="H20" s="650" t="e">
        <f t="shared" si="2"/>
        <v>#DIV/0!</v>
      </c>
      <c r="I20" s="617" t="e">
        <f t="shared" si="3"/>
        <v>#DIV/0!</v>
      </c>
      <c r="J20" s="635">
        <v>2746104</v>
      </c>
      <c r="K20" s="635">
        <v>105117</v>
      </c>
      <c r="L20" s="637">
        <f>J20+K20</f>
        <v>2851221</v>
      </c>
      <c r="M20" s="636">
        <f>D20*J20+E20*K20</f>
        <v>28620084406.461</v>
      </c>
      <c r="N20" s="636"/>
      <c r="O20" s="698"/>
      <c r="P20" s="698"/>
      <c r="Q20" s="645">
        <f t="shared" si="11"/>
        <v>0</v>
      </c>
      <c r="R20" s="651" t="e">
        <f t="shared" si="4"/>
        <v>#DIV/0!</v>
      </c>
      <c r="S20" s="654" t="e">
        <f t="shared" si="5"/>
        <v>#DIV/0!</v>
      </c>
      <c r="T20" s="1305"/>
      <c r="U20" s="622">
        <f t="shared" si="6"/>
        <v>10037.834459854566</v>
      </c>
      <c r="V20" s="633">
        <v>21286227.42</v>
      </c>
      <c r="W20" s="624">
        <f t="shared" si="7"/>
        <v>7.466</v>
      </c>
      <c r="X20" s="622">
        <f t="shared" si="8"/>
        <v>2.07</v>
      </c>
      <c r="Y20" s="656">
        <f t="shared" si="9"/>
        <v>0</v>
      </c>
      <c r="Z20" s="657">
        <f t="shared" si="10"/>
        <v>-21286227.42</v>
      </c>
      <c r="AA20" s="706">
        <f>O20*100/(780000*31)</f>
        <v>0</v>
      </c>
      <c r="AB20" s="613"/>
      <c r="AC20" s="613"/>
    </row>
    <row r="21" spans="1:29" ht="15">
      <c r="A21" s="640"/>
      <c r="B21" s="641"/>
      <c r="C21" s="615" t="s">
        <v>1187</v>
      </c>
      <c r="D21" s="648"/>
      <c r="E21" s="648"/>
      <c r="F21" s="642">
        <f t="shared" si="0"/>
        <v>2.11</v>
      </c>
      <c r="G21" s="617">
        <f t="shared" si="1"/>
        <v>723813.952000007</v>
      </c>
      <c r="H21" s="650">
        <f t="shared" si="2"/>
        <v>2.28</v>
      </c>
      <c r="I21" s="617">
        <f t="shared" si="3"/>
        <v>3800023.2480000034</v>
      </c>
      <c r="J21" s="635"/>
      <c r="K21" s="635"/>
      <c r="L21" s="643">
        <f>L19+L20</f>
        <v>5637693</v>
      </c>
      <c r="M21" s="643">
        <f>M19+M20</f>
        <v>56614148160.933</v>
      </c>
      <c r="N21" s="636"/>
      <c r="O21" s="699">
        <v>19433190</v>
      </c>
      <c r="P21" s="708">
        <v>1337841.2</v>
      </c>
      <c r="Q21" s="645">
        <f t="shared" si="11"/>
        <v>18095348.8</v>
      </c>
      <c r="R21" s="651">
        <f t="shared" si="4"/>
        <v>6.884310810525704</v>
      </c>
      <c r="S21" s="654">
        <f t="shared" si="5"/>
        <v>2913.27</v>
      </c>
      <c r="T21" s="660"/>
      <c r="U21" s="622">
        <f t="shared" si="6"/>
        <v>10042.077168964859</v>
      </c>
      <c r="V21" s="633">
        <f>V19+V20</f>
        <v>42106861.150000006</v>
      </c>
      <c r="W21" s="624">
        <f t="shared" si="7"/>
        <v>7.469</v>
      </c>
      <c r="X21" s="622">
        <f t="shared" si="8"/>
        <v>2.07</v>
      </c>
      <c r="Y21" s="656">
        <f t="shared" si="9"/>
        <v>37457372.015999995</v>
      </c>
      <c r="Z21" s="657">
        <f t="shared" si="10"/>
        <v>-4649489.134000011</v>
      </c>
      <c r="AA21" s="706">
        <f>O21*100/(780000*30)</f>
        <v>83.04782051282051</v>
      </c>
      <c r="AB21" s="613">
        <v>30</v>
      </c>
      <c r="AC21" s="613">
        <v>54727561</v>
      </c>
    </row>
    <row r="22" spans="1:30" ht="15">
      <c r="A22" s="661">
        <v>7</v>
      </c>
      <c r="B22" s="662" t="s">
        <v>1769</v>
      </c>
      <c r="C22" s="615" t="s">
        <v>1189</v>
      </c>
      <c r="D22" s="153">
        <v>10057.064</v>
      </c>
      <c r="E22" s="153">
        <v>10054.152</v>
      </c>
      <c r="F22" s="642" t="e">
        <f t="shared" si="0"/>
        <v>#DIV/0!</v>
      </c>
      <c r="G22" s="617" t="e">
        <f t="shared" si="1"/>
        <v>#DIV/0!</v>
      </c>
      <c r="H22" s="650" t="e">
        <f t="shared" si="2"/>
        <v>#DIV/0!</v>
      </c>
      <c r="I22" s="617" t="e">
        <f t="shared" si="3"/>
        <v>#DIV/0!</v>
      </c>
      <c r="J22" s="153">
        <v>2760000</v>
      </c>
      <c r="K22" s="153">
        <v>118005</v>
      </c>
      <c r="L22" s="643">
        <f>J22+K22</f>
        <v>2878005</v>
      </c>
      <c r="M22" s="643">
        <f>D22*J22+E22*K22</f>
        <v>28943936846.76</v>
      </c>
      <c r="N22" s="663"/>
      <c r="O22" s="635"/>
      <c r="P22" s="663"/>
      <c r="Q22" s="635"/>
      <c r="R22" s="651" t="e">
        <f t="shared" si="4"/>
        <v>#DIV/0!</v>
      </c>
      <c r="S22" s="654" t="e">
        <f t="shared" si="5"/>
        <v>#DIV/0!</v>
      </c>
      <c r="T22" s="660"/>
      <c r="U22" s="622">
        <f t="shared" si="6"/>
        <v>10056.944601124736</v>
      </c>
      <c r="V22" s="633"/>
      <c r="W22" s="624">
        <f t="shared" si="7"/>
        <v>0</v>
      </c>
      <c r="X22" s="622">
        <f t="shared" si="8"/>
        <v>0</v>
      </c>
      <c r="Y22" s="656">
        <f t="shared" si="9"/>
        <v>0</v>
      </c>
      <c r="Z22" s="657">
        <f t="shared" si="10"/>
        <v>0</v>
      </c>
      <c r="AA22" s="706">
        <f>O22*100/(780000*30)</f>
        <v>0</v>
      </c>
      <c r="AB22" s="613"/>
      <c r="AC22" s="613"/>
      <c r="AD22" s="90">
        <v>6408334</v>
      </c>
    </row>
    <row r="23" spans="1:29" ht="15">
      <c r="A23" s="1296"/>
      <c r="B23" s="1297"/>
      <c r="C23" s="615" t="s">
        <v>1188</v>
      </c>
      <c r="D23" s="153">
        <v>10039.007</v>
      </c>
      <c r="E23" s="153">
        <v>10042.901</v>
      </c>
      <c r="F23" s="642" t="e">
        <f t="shared" si="0"/>
        <v>#DIV/0!</v>
      </c>
      <c r="G23" s="617" t="e">
        <f t="shared" si="1"/>
        <v>#DIV/0!</v>
      </c>
      <c r="H23" s="650" t="e">
        <f t="shared" si="2"/>
        <v>#DIV/0!</v>
      </c>
      <c r="I23" s="617" t="e">
        <f t="shared" si="3"/>
        <v>#DIV/0!</v>
      </c>
      <c r="J23" s="153">
        <v>2942333</v>
      </c>
      <c r="K23" s="153">
        <v>115798</v>
      </c>
      <c r="L23" s="643">
        <f>J23+K23</f>
        <v>3058131</v>
      </c>
      <c r="M23" s="643">
        <f>D23*J23+E23*K23</f>
        <v>30701049433.329</v>
      </c>
      <c r="N23" s="636"/>
      <c r="O23" s="664"/>
      <c r="P23" s="664"/>
      <c r="Q23" s="664"/>
      <c r="R23" s="651" t="e">
        <f t="shared" si="4"/>
        <v>#DIV/0!</v>
      </c>
      <c r="S23" s="654" t="e">
        <f t="shared" si="5"/>
        <v>#DIV/0!</v>
      </c>
      <c r="T23" s="1305"/>
      <c r="U23" s="622">
        <f t="shared" si="6"/>
        <v>10039.154448690719</v>
      </c>
      <c r="V23" s="633"/>
      <c r="W23" s="624">
        <f t="shared" si="7"/>
        <v>0</v>
      </c>
      <c r="X23" s="622">
        <f t="shared" si="8"/>
        <v>0</v>
      </c>
      <c r="Y23" s="656">
        <f t="shared" si="9"/>
        <v>0</v>
      </c>
      <c r="Z23" s="657">
        <f t="shared" si="10"/>
        <v>0</v>
      </c>
      <c r="AA23" s="706">
        <f>O23*100/(780000*30)</f>
        <v>0</v>
      </c>
      <c r="AB23" s="613"/>
      <c r="AC23" s="613"/>
    </row>
    <row r="24" spans="1:29" ht="15">
      <c r="A24" s="1296"/>
      <c r="B24" s="1297"/>
      <c r="C24" s="615" t="s">
        <v>1187</v>
      </c>
      <c r="D24" s="635"/>
      <c r="E24" s="635"/>
      <c r="F24" s="642">
        <f t="shared" si="0"/>
        <v>2.42</v>
      </c>
      <c r="G24" s="617">
        <f t="shared" si="1"/>
        <v>944200</v>
      </c>
      <c r="H24" s="650">
        <f t="shared" si="2"/>
        <v>2.63</v>
      </c>
      <c r="I24" s="617">
        <f t="shared" si="3"/>
        <v>4909840</v>
      </c>
      <c r="J24" s="635"/>
      <c r="K24" s="635"/>
      <c r="L24" s="643">
        <f aca="true" t="shared" si="13" ref="L24:M27">L22+L23</f>
        <v>5936136</v>
      </c>
      <c r="M24" s="643">
        <f t="shared" si="13"/>
        <v>59644986280.089</v>
      </c>
      <c r="N24" s="636"/>
      <c r="O24" s="665">
        <v>20300540</v>
      </c>
      <c r="P24" s="698">
        <f>O24-Q24</f>
        <v>1416540</v>
      </c>
      <c r="Q24" s="665">
        <v>18884000</v>
      </c>
      <c r="R24" s="651">
        <f t="shared" si="4"/>
        <v>6.977843939126743</v>
      </c>
      <c r="S24" s="654">
        <f t="shared" si="5"/>
        <v>2938.1</v>
      </c>
      <c r="T24" s="1305"/>
      <c r="U24" s="622">
        <f t="shared" si="6"/>
        <v>10047.779612881004</v>
      </c>
      <c r="V24" s="633">
        <v>50767260.08</v>
      </c>
      <c r="W24" s="624">
        <f t="shared" si="7"/>
        <v>8.552</v>
      </c>
      <c r="X24" s="622">
        <f t="shared" si="8"/>
        <v>2.37</v>
      </c>
      <c r="Y24" s="656">
        <f t="shared" si="9"/>
        <v>44755080</v>
      </c>
      <c r="Z24" s="657">
        <f t="shared" si="10"/>
        <v>-6012180.079999998</v>
      </c>
      <c r="AA24" s="706">
        <f>O24*100/(780000*AB24)</f>
        <v>83.95591397849462</v>
      </c>
      <c r="AB24" s="613">
        <v>31</v>
      </c>
      <c r="AC24" s="613">
        <v>62214545</v>
      </c>
    </row>
    <row r="25" spans="1:30" ht="15">
      <c r="A25" s="595">
        <v>8</v>
      </c>
      <c r="B25" s="666" t="s">
        <v>1770</v>
      </c>
      <c r="C25" s="615" t="s">
        <v>1189</v>
      </c>
      <c r="D25" s="635">
        <v>10051.286</v>
      </c>
      <c r="E25" s="635">
        <v>10053.071</v>
      </c>
      <c r="F25" s="642" t="e">
        <f t="shared" si="0"/>
        <v>#DIV/0!</v>
      </c>
      <c r="G25" s="617" t="e">
        <f t="shared" si="1"/>
        <v>#DIV/0!</v>
      </c>
      <c r="H25" s="650" t="e">
        <f t="shared" si="2"/>
        <v>#DIV/0!</v>
      </c>
      <c r="I25" s="617" t="e">
        <f t="shared" si="3"/>
        <v>#DIV/0!</v>
      </c>
      <c r="J25" s="635">
        <v>2760000</v>
      </c>
      <c r="K25" s="635">
        <v>111992</v>
      </c>
      <c r="L25" s="643">
        <f>J25+K25</f>
        <v>2871992</v>
      </c>
      <c r="M25" s="643">
        <f>D25*J25+E25*K25</f>
        <v>28867412887.432</v>
      </c>
      <c r="N25" s="663"/>
      <c r="O25" s="667"/>
      <c r="P25" s="698"/>
      <c r="Q25" s="667"/>
      <c r="R25" s="651" t="e">
        <f t="shared" si="4"/>
        <v>#DIV/0!</v>
      </c>
      <c r="S25" s="654" t="e">
        <f t="shared" si="5"/>
        <v>#DIV/0!</v>
      </c>
      <c r="T25" s="660"/>
      <c r="U25" s="622">
        <f t="shared" si="6"/>
        <v>10051.355605249597</v>
      </c>
      <c r="V25" s="633"/>
      <c r="W25" s="624">
        <f t="shared" si="7"/>
        <v>0</v>
      </c>
      <c r="X25" s="622">
        <f t="shared" si="8"/>
        <v>0</v>
      </c>
      <c r="Y25" s="656">
        <f t="shared" si="9"/>
        <v>0</v>
      </c>
      <c r="Z25" s="657">
        <f t="shared" si="10"/>
        <v>0</v>
      </c>
      <c r="AA25" s="706" t="e">
        <f aca="true" t="shared" si="14" ref="AA25:AA39">O25*100/(780000*AB25)</f>
        <v>#DIV/0!</v>
      </c>
      <c r="AB25" s="613">
        <v>0</v>
      </c>
      <c r="AC25" s="613"/>
      <c r="AD25" s="90">
        <v>6408334</v>
      </c>
    </row>
    <row r="26" spans="1:29" ht="15">
      <c r="A26" s="595"/>
      <c r="B26" s="1300"/>
      <c r="C26" s="615" t="s">
        <v>1188</v>
      </c>
      <c r="D26" s="617">
        <v>10019.362</v>
      </c>
      <c r="E26" s="617">
        <v>10013.806</v>
      </c>
      <c r="F26" s="642" t="e">
        <f t="shared" si="0"/>
        <v>#DIV/0!</v>
      </c>
      <c r="G26" s="617" t="e">
        <f t="shared" si="1"/>
        <v>#DIV/0!</v>
      </c>
      <c r="H26" s="650" t="e">
        <f t="shared" si="2"/>
        <v>#DIV/0!</v>
      </c>
      <c r="I26" s="617" t="e">
        <f t="shared" si="3"/>
        <v>#DIV/0!</v>
      </c>
      <c r="J26" s="617">
        <v>2754819</v>
      </c>
      <c r="K26" s="617">
        <v>93341</v>
      </c>
      <c r="L26" s="643">
        <f>J26+K26</f>
        <v>2848160</v>
      </c>
      <c r="M26" s="643">
        <f>D26*J26+E26*K26</f>
        <v>28536227471.323997</v>
      </c>
      <c r="N26" s="628"/>
      <c r="O26" s="668"/>
      <c r="P26" s="698"/>
      <c r="Q26" s="668"/>
      <c r="R26" s="651" t="e">
        <f t="shared" si="4"/>
        <v>#DIV/0!</v>
      </c>
      <c r="S26" s="654" t="e">
        <f t="shared" si="5"/>
        <v>#DIV/0!</v>
      </c>
      <c r="T26" s="669"/>
      <c r="U26" s="622">
        <f t="shared" si="6"/>
        <v>10019.179916621257</v>
      </c>
      <c r="V26" s="633"/>
      <c r="W26" s="624">
        <f t="shared" si="7"/>
        <v>0</v>
      </c>
      <c r="X26" s="622">
        <f t="shared" si="8"/>
        <v>0</v>
      </c>
      <c r="Y26" s="656">
        <f t="shared" si="9"/>
        <v>0</v>
      </c>
      <c r="Z26" s="657">
        <f t="shared" si="10"/>
        <v>0</v>
      </c>
      <c r="AA26" s="706" t="e">
        <f t="shared" si="14"/>
        <v>#DIV/0!</v>
      </c>
      <c r="AB26" s="613">
        <v>0</v>
      </c>
      <c r="AC26" s="614"/>
    </row>
    <row r="27" spans="1:29" ht="15">
      <c r="A27" s="595"/>
      <c r="B27" s="1301"/>
      <c r="C27" s="615" t="s">
        <v>1187</v>
      </c>
      <c r="D27" s="616"/>
      <c r="E27" s="616"/>
      <c r="F27" s="642">
        <f t="shared" si="0"/>
        <v>2.44</v>
      </c>
      <c r="G27" s="617">
        <f t="shared" si="1"/>
        <v>912100</v>
      </c>
      <c r="H27" s="650">
        <f t="shared" si="2"/>
        <v>2.65</v>
      </c>
      <c r="I27" s="617">
        <f t="shared" si="3"/>
        <v>4742920</v>
      </c>
      <c r="J27" s="617"/>
      <c r="K27" s="617"/>
      <c r="L27" s="643">
        <f t="shared" si="13"/>
        <v>5720152</v>
      </c>
      <c r="M27" s="643">
        <f t="shared" si="13"/>
        <v>57403640358.756</v>
      </c>
      <c r="N27" s="628"/>
      <c r="O27" s="628">
        <v>19582940</v>
      </c>
      <c r="P27" s="698">
        <f aca="true" t="shared" si="15" ref="P27:P39">O27-Q27</f>
        <v>1340940</v>
      </c>
      <c r="Q27" s="628">
        <v>18242000</v>
      </c>
      <c r="R27" s="651">
        <f t="shared" si="4"/>
        <v>6.8474907240690115</v>
      </c>
      <c r="S27" s="654">
        <f t="shared" si="5"/>
        <v>2931.31</v>
      </c>
      <c r="T27" s="669"/>
      <c r="U27" s="622">
        <f t="shared" si="6"/>
        <v>10035.334788088847</v>
      </c>
      <c r="V27" s="633">
        <v>49289329</v>
      </c>
      <c r="W27" s="624">
        <f t="shared" si="7"/>
        <v>8.617</v>
      </c>
      <c r="X27" s="622">
        <f t="shared" si="8"/>
        <v>2.39</v>
      </c>
      <c r="Y27" s="656">
        <f t="shared" si="9"/>
        <v>43598380</v>
      </c>
      <c r="Z27" s="657">
        <f t="shared" si="10"/>
        <v>-5690949</v>
      </c>
      <c r="AA27" s="706">
        <f t="shared" si="14"/>
        <v>83.68777777777778</v>
      </c>
      <c r="AB27" s="613">
        <v>30</v>
      </c>
      <c r="AC27" s="614">
        <v>60975468</v>
      </c>
    </row>
    <row r="28" spans="1:30" ht="15">
      <c r="A28" s="1296">
        <v>9</v>
      </c>
      <c r="B28" s="1297" t="s">
        <v>1771</v>
      </c>
      <c r="C28" s="615" t="s">
        <v>1189</v>
      </c>
      <c r="D28" s="617">
        <v>10037.818</v>
      </c>
      <c r="E28" s="617">
        <v>10037.913</v>
      </c>
      <c r="F28" s="642" t="e">
        <f t="shared" si="0"/>
        <v>#DIV/0!</v>
      </c>
      <c r="G28" s="617" t="e">
        <f t="shared" si="1"/>
        <v>#DIV/0!</v>
      </c>
      <c r="H28" s="650" t="e">
        <f t="shared" si="2"/>
        <v>#DIV/0!</v>
      </c>
      <c r="I28" s="617" t="e">
        <f t="shared" si="3"/>
        <v>#DIV/0!</v>
      </c>
      <c r="J28" s="616">
        <v>2760000</v>
      </c>
      <c r="K28" s="616">
        <v>123792</v>
      </c>
      <c r="L28" s="617">
        <f>J28+K28</f>
        <v>2883792</v>
      </c>
      <c r="M28" s="643">
        <f aca="true" t="shared" si="16" ref="M28:M38">D28*J28+E28*K28</f>
        <v>28946991006.095997</v>
      </c>
      <c r="N28" s="618"/>
      <c r="O28" s="619"/>
      <c r="P28" s="698"/>
      <c r="Q28" s="619"/>
      <c r="R28" s="651" t="e">
        <f t="shared" si="4"/>
        <v>#DIV/0!</v>
      </c>
      <c r="S28" s="654" t="e">
        <f t="shared" si="5"/>
        <v>#DIV/0!</v>
      </c>
      <c r="T28" s="1298"/>
      <c r="U28" s="622">
        <f t="shared" si="6"/>
        <v>10037.822078047237</v>
      </c>
      <c r="V28" s="633"/>
      <c r="W28" s="624">
        <f t="shared" si="7"/>
        <v>0</v>
      </c>
      <c r="X28" s="622">
        <f t="shared" si="8"/>
        <v>0</v>
      </c>
      <c r="Y28" s="656">
        <f t="shared" si="9"/>
        <v>0</v>
      </c>
      <c r="Z28" s="657">
        <f t="shared" si="10"/>
        <v>0</v>
      </c>
      <c r="AA28" s="706" t="e">
        <f t="shared" si="14"/>
        <v>#DIV/0!</v>
      </c>
      <c r="AB28" s="613">
        <v>0</v>
      </c>
      <c r="AC28" s="614"/>
      <c r="AD28" s="90">
        <v>6408334</v>
      </c>
    </row>
    <row r="29" spans="1:29" ht="15">
      <c r="A29" s="1296"/>
      <c r="B29" s="1297"/>
      <c r="C29" s="615" t="s">
        <v>1188</v>
      </c>
      <c r="D29" s="616">
        <v>10034.895</v>
      </c>
      <c r="E29" s="616">
        <v>10034.803</v>
      </c>
      <c r="F29" s="642" t="e">
        <f t="shared" si="0"/>
        <v>#DIV/0!</v>
      </c>
      <c r="G29" s="617" t="e">
        <f t="shared" si="1"/>
        <v>#DIV/0!</v>
      </c>
      <c r="H29" s="650" t="e">
        <f t="shared" si="2"/>
        <v>#DIV/0!</v>
      </c>
      <c r="I29" s="617" t="e">
        <f t="shared" si="3"/>
        <v>#DIV/0!</v>
      </c>
      <c r="J29" s="616">
        <v>2944000</v>
      </c>
      <c r="K29" s="616">
        <v>161077</v>
      </c>
      <c r="L29" s="617">
        <f aca="true" t="shared" si="17" ref="L29:L38">J29+K29</f>
        <v>3105077</v>
      </c>
      <c r="M29" s="643">
        <f t="shared" si="16"/>
        <v>31159106842.831</v>
      </c>
      <c r="N29" s="618"/>
      <c r="O29" s="670"/>
      <c r="P29" s="698"/>
      <c r="Q29" s="670"/>
      <c r="R29" s="651" t="e">
        <f t="shared" si="4"/>
        <v>#DIV/0!</v>
      </c>
      <c r="S29" s="654" t="e">
        <f t="shared" si="5"/>
        <v>#DIV/0!</v>
      </c>
      <c r="T29" s="1298"/>
      <c r="U29" s="622">
        <f t="shared" si="6"/>
        <v>10034.890227466502</v>
      </c>
      <c r="V29" s="633"/>
      <c r="W29" s="624">
        <f t="shared" si="7"/>
        <v>0</v>
      </c>
      <c r="X29" s="622">
        <f t="shared" si="8"/>
        <v>0</v>
      </c>
      <c r="Y29" s="656">
        <f t="shared" si="9"/>
        <v>0</v>
      </c>
      <c r="Z29" s="657">
        <f t="shared" si="10"/>
        <v>0</v>
      </c>
      <c r="AA29" s="706" t="e">
        <f t="shared" si="14"/>
        <v>#DIV/0!</v>
      </c>
      <c r="AB29" s="613">
        <v>0</v>
      </c>
      <c r="AC29" s="614"/>
    </row>
    <row r="30" spans="1:29" ht="15">
      <c r="A30" s="595"/>
      <c r="B30" s="666"/>
      <c r="C30" s="615" t="s">
        <v>1187</v>
      </c>
      <c r="D30" s="616"/>
      <c r="E30" s="616"/>
      <c r="F30" s="642">
        <f t="shared" si="0"/>
        <v>2.43</v>
      </c>
      <c r="G30" s="617">
        <f t="shared" si="1"/>
        <v>958700</v>
      </c>
      <c r="H30" s="650">
        <f t="shared" si="2"/>
        <v>2.63</v>
      </c>
      <c r="I30" s="617">
        <f t="shared" si="3"/>
        <v>4793500</v>
      </c>
      <c r="J30" s="616"/>
      <c r="K30" s="616"/>
      <c r="L30" s="617">
        <f>L28+L29</f>
        <v>5988869</v>
      </c>
      <c r="M30" s="617">
        <f>M28+M29</f>
        <v>60106097848.927</v>
      </c>
      <c r="N30" s="628"/>
      <c r="O30" s="628">
        <v>20599790</v>
      </c>
      <c r="P30" s="698">
        <f t="shared" si="15"/>
        <v>1425790</v>
      </c>
      <c r="Q30" s="628">
        <v>19174000</v>
      </c>
      <c r="R30" s="651">
        <f t="shared" si="4"/>
        <v>6.921381237381546</v>
      </c>
      <c r="S30" s="654">
        <f t="shared" si="5"/>
        <v>2917.8</v>
      </c>
      <c r="T30" s="669"/>
      <c r="U30" s="622">
        <f t="shared" si="6"/>
        <v>10036.301987725396</v>
      </c>
      <c r="V30" s="633">
        <v>51456519</v>
      </c>
      <c r="W30" s="624">
        <f t="shared" si="7"/>
        <v>8.592</v>
      </c>
      <c r="X30" s="622">
        <f t="shared" si="8"/>
        <v>2.38</v>
      </c>
      <c r="Y30" s="656">
        <f t="shared" si="9"/>
        <v>45634120</v>
      </c>
      <c r="Z30" s="657">
        <f t="shared" si="10"/>
        <v>-5822399</v>
      </c>
      <c r="AA30" s="706">
        <f t="shared" si="14"/>
        <v>85.19350703060381</v>
      </c>
      <c r="AB30" s="613">
        <v>31</v>
      </c>
      <c r="AC30" s="614">
        <v>63409361</v>
      </c>
    </row>
    <row r="31" spans="1:30" ht="15">
      <c r="A31" s="1296">
        <v>10</v>
      </c>
      <c r="B31" s="1297" t="s">
        <v>1772</v>
      </c>
      <c r="C31" s="615" t="s">
        <v>1189</v>
      </c>
      <c r="D31" s="616">
        <v>10002.213</v>
      </c>
      <c r="E31" s="616">
        <v>9999.516</v>
      </c>
      <c r="F31" s="642" t="e">
        <f t="shared" si="0"/>
        <v>#DIV/0!</v>
      </c>
      <c r="G31" s="617" t="e">
        <f t="shared" si="1"/>
        <v>#DIV/0!</v>
      </c>
      <c r="H31" s="650" t="e">
        <f t="shared" si="2"/>
        <v>#DIV/0!</v>
      </c>
      <c r="I31" s="617" t="e">
        <f t="shared" si="3"/>
        <v>#DIV/0!</v>
      </c>
      <c r="J31" s="616">
        <v>2685899</v>
      </c>
      <c r="K31" s="616">
        <v>109786</v>
      </c>
      <c r="L31" s="617">
        <f t="shared" si="17"/>
        <v>2795685</v>
      </c>
      <c r="M31" s="643">
        <f t="shared" si="16"/>
        <v>27962740758.063</v>
      </c>
      <c r="N31" s="618"/>
      <c r="O31" s="619"/>
      <c r="P31" s="698">
        <f t="shared" si="15"/>
        <v>0</v>
      </c>
      <c r="Q31" s="619"/>
      <c r="R31" s="651" t="e">
        <f t="shared" si="4"/>
        <v>#DIV/0!</v>
      </c>
      <c r="S31" s="654" t="e">
        <f t="shared" si="5"/>
        <v>#DIV/0!</v>
      </c>
      <c r="T31" s="1298"/>
      <c r="U31" s="622">
        <f t="shared" si="6"/>
        <v>10002.107089340538</v>
      </c>
      <c r="V31" s="633"/>
      <c r="W31" s="624">
        <f t="shared" si="7"/>
        <v>0</v>
      </c>
      <c r="X31" s="622">
        <f t="shared" si="8"/>
        <v>0</v>
      </c>
      <c r="Y31" s="656">
        <f t="shared" si="9"/>
        <v>0</v>
      </c>
      <c r="Z31" s="657">
        <f t="shared" si="10"/>
        <v>0</v>
      </c>
      <c r="AA31" s="706" t="e">
        <f t="shared" si="14"/>
        <v>#DIV/0!</v>
      </c>
      <c r="AB31" s="613">
        <v>0</v>
      </c>
      <c r="AC31" s="614"/>
      <c r="AD31" s="90">
        <v>6408334</v>
      </c>
    </row>
    <row r="32" spans="1:29" ht="15">
      <c r="A32" s="1296"/>
      <c r="B32" s="1297"/>
      <c r="C32" s="615" t="s">
        <v>1188</v>
      </c>
      <c r="D32" s="671">
        <v>10045.021</v>
      </c>
      <c r="E32" s="671">
        <v>10053.229</v>
      </c>
      <c r="F32" s="642" t="e">
        <f t="shared" si="0"/>
        <v>#DIV/0!</v>
      </c>
      <c r="G32" s="617" t="e">
        <f t="shared" si="1"/>
        <v>#DIV/0!</v>
      </c>
      <c r="H32" s="650" t="e">
        <f t="shared" si="2"/>
        <v>#DIV/0!</v>
      </c>
      <c r="I32" s="617" t="e">
        <f t="shared" si="3"/>
        <v>#DIV/0!</v>
      </c>
      <c r="J32" s="616">
        <v>2784018</v>
      </c>
      <c r="K32" s="616">
        <v>44339</v>
      </c>
      <c r="L32" s="617">
        <f t="shared" si="17"/>
        <v>2828357</v>
      </c>
      <c r="M32" s="643">
        <f t="shared" si="16"/>
        <v>28411269395.009003</v>
      </c>
      <c r="N32" s="618"/>
      <c r="O32" s="670"/>
      <c r="P32" s="698">
        <f t="shared" si="15"/>
        <v>0</v>
      </c>
      <c r="Q32" s="670"/>
      <c r="R32" s="651" t="e">
        <f t="shared" si="4"/>
        <v>#DIV/0!</v>
      </c>
      <c r="S32" s="654" t="e">
        <f t="shared" si="5"/>
        <v>#DIV/0!</v>
      </c>
      <c r="T32" s="1298"/>
      <c r="U32" s="622">
        <f t="shared" si="6"/>
        <v>10045.149673470853</v>
      </c>
      <c r="V32" s="633"/>
      <c r="W32" s="624">
        <f t="shared" si="7"/>
        <v>0</v>
      </c>
      <c r="X32" s="622">
        <f t="shared" si="8"/>
        <v>0</v>
      </c>
      <c r="Y32" s="656">
        <f t="shared" si="9"/>
        <v>0</v>
      </c>
      <c r="Z32" s="657">
        <f t="shared" si="10"/>
        <v>0</v>
      </c>
      <c r="AA32" s="706" t="e">
        <f t="shared" si="14"/>
        <v>#DIV/0!</v>
      </c>
      <c r="AB32" s="613">
        <v>0</v>
      </c>
      <c r="AC32" s="614"/>
    </row>
    <row r="33" spans="1:29" ht="15">
      <c r="A33" s="595"/>
      <c r="B33" s="666"/>
      <c r="C33" s="615" t="s">
        <v>1187</v>
      </c>
      <c r="D33" s="671"/>
      <c r="E33" s="671"/>
      <c r="F33" s="642">
        <f t="shared" si="0"/>
        <v>2.44</v>
      </c>
      <c r="G33" s="617">
        <f t="shared" si="1"/>
        <v>1340421.2960000038</v>
      </c>
      <c r="H33" s="650">
        <f t="shared" si="2"/>
        <v>2.77</v>
      </c>
      <c r="I33" s="617">
        <f t="shared" si="3"/>
        <v>6869659.142000005</v>
      </c>
      <c r="J33" s="616"/>
      <c r="K33" s="616"/>
      <c r="L33" s="617">
        <f>L31+L32</f>
        <v>5624042</v>
      </c>
      <c r="M33" s="617">
        <f>M31+M32</f>
        <v>56374010153.07201</v>
      </c>
      <c r="N33" s="628"/>
      <c r="O33" s="628">
        <v>18169080</v>
      </c>
      <c r="P33" s="698">
        <f t="shared" si="15"/>
        <v>1413813.8000000007</v>
      </c>
      <c r="Q33" s="628">
        <v>16755266.2</v>
      </c>
      <c r="R33" s="651">
        <f t="shared" si="4"/>
        <v>7.781427568154252</v>
      </c>
      <c r="S33" s="654">
        <f t="shared" si="5"/>
        <v>3102.74</v>
      </c>
      <c r="T33" s="669"/>
      <c r="U33" s="622">
        <f t="shared" si="6"/>
        <v>10023.753406015105</v>
      </c>
      <c r="V33" s="633">
        <v>47850741</v>
      </c>
      <c r="W33" s="624">
        <f t="shared" si="7"/>
        <v>8.508</v>
      </c>
      <c r="X33" s="622">
        <f t="shared" si="8"/>
        <v>2.36</v>
      </c>
      <c r="Y33" s="656">
        <f t="shared" si="9"/>
        <v>39542428.23199999</v>
      </c>
      <c r="Z33" s="657">
        <f t="shared" si="10"/>
        <v>-8308312.768000007</v>
      </c>
      <c r="AA33" s="706">
        <f t="shared" si="14"/>
        <v>75.1409429280397</v>
      </c>
      <c r="AB33" s="613">
        <v>31</v>
      </c>
      <c r="AC33" s="614">
        <v>54924175</v>
      </c>
    </row>
    <row r="34" spans="1:30" ht="15">
      <c r="A34" s="1296">
        <v>11</v>
      </c>
      <c r="B34" s="1297" t="s">
        <v>1773</v>
      </c>
      <c r="C34" s="615" t="s">
        <v>1189</v>
      </c>
      <c r="D34" s="616">
        <v>10038.105</v>
      </c>
      <c r="E34" s="616">
        <v>10043.045</v>
      </c>
      <c r="F34" s="642" t="e">
        <f t="shared" si="0"/>
        <v>#DIV/0!</v>
      </c>
      <c r="G34" s="617" t="e">
        <f t="shared" si="1"/>
        <v>#DIV/0!</v>
      </c>
      <c r="H34" s="650" t="e">
        <f t="shared" si="2"/>
        <v>#DIV/0!</v>
      </c>
      <c r="I34" s="617" t="e">
        <f t="shared" si="3"/>
        <v>#DIV/0!</v>
      </c>
      <c r="J34" s="616">
        <v>2647081</v>
      </c>
      <c r="K34" s="616">
        <v>88146</v>
      </c>
      <c r="L34" s="617">
        <f t="shared" si="17"/>
        <v>2735227</v>
      </c>
      <c r="M34" s="643">
        <f t="shared" si="16"/>
        <v>27456931266.074997</v>
      </c>
      <c r="N34" s="618"/>
      <c r="O34" s="619"/>
      <c r="P34" s="698">
        <f t="shared" si="15"/>
        <v>0</v>
      </c>
      <c r="Q34" s="619"/>
      <c r="R34" s="651" t="e">
        <f t="shared" si="4"/>
        <v>#DIV/0!</v>
      </c>
      <c r="S34" s="654" t="e">
        <f t="shared" si="5"/>
        <v>#DIV/0!</v>
      </c>
      <c r="T34" s="1298"/>
      <c r="U34" s="622">
        <f t="shared" si="6"/>
        <v>10038.264197477942</v>
      </c>
      <c r="V34" s="633"/>
      <c r="W34" s="624">
        <f t="shared" si="7"/>
        <v>0</v>
      </c>
      <c r="X34" s="622">
        <f t="shared" si="8"/>
        <v>0</v>
      </c>
      <c r="Y34" s="656">
        <f t="shared" si="9"/>
        <v>0</v>
      </c>
      <c r="Z34" s="657">
        <f t="shared" si="10"/>
        <v>0</v>
      </c>
      <c r="AA34" s="706" t="e">
        <f t="shared" si="14"/>
        <v>#DIV/0!</v>
      </c>
      <c r="AB34" s="613">
        <v>0</v>
      </c>
      <c r="AC34" s="614"/>
      <c r="AD34" s="90">
        <v>6408334</v>
      </c>
    </row>
    <row r="35" spans="1:29" ht="15">
      <c r="A35" s="1296"/>
      <c r="B35" s="1297"/>
      <c r="C35" s="615" t="s">
        <v>1188</v>
      </c>
      <c r="D35" s="616">
        <v>10013.881</v>
      </c>
      <c r="E35" s="616">
        <v>10016.155</v>
      </c>
      <c r="F35" s="642" t="e">
        <f t="shared" si="0"/>
        <v>#DIV/0!</v>
      </c>
      <c r="G35" s="617" t="e">
        <f t="shared" si="1"/>
        <v>#DIV/0!</v>
      </c>
      <c r="H35" s="650" t="e">
        <f t="shared" si="2"/>
        <v>#DIV/0!</v>
      </c>
      <c r="I35" s="617" t="e">
        <f t="shared" si="3"/>
        <v>#DIV/0!</v>
      </c>
      <c r="J35" s="616">
        <v>2375707</v>
      </c>
      <c r="K35" s="616">
        <v>52513</v>
      </c>
      <c r="L35" s="617">
        <f t="shared" si="17"/>
        <v>2428220</v>
      </c>
      <c r="M35" s="643">
        <f t="shared" si="16"/>
        <v>24316025536.381996</v>
      </c>
      <c r="N35" s="618"/>
      <c r="O35" s="670"/>
      <c r="P35" s="698">
        <f t="shared" si="15"/>
        <v>0</v>
      </c>
      <c r="Q35" s="619"/>
      <c r="R35" s="651" t="e">
        <f t="shared" si="4"/>
        <v>#DIV/0!</v>
      </c>
      <c r="S35" s="654" t="e">
        <f t="shared" si="5"/>
        <v>#DIV/0!</v>
      </c>
      <c r="T35" s="1298"/>
      <c r="U35" s="622">
        <f t="shared" si="6"/>
        <v>10013.930177818318</v>
      </c>
      <c r="V35" s="633"/>
      <c r="W35" s="624">
        <f t="shared" si="7"/>
        <v>0</v>
      </c>
      <c r="X35" s="622">
        <f t="shared" si="8"/>
        <v>0</v>
      </c>
      <c r="Y35" s="656">
        <f t="shared" si="9"/>
        <v>0</v>
      </c>
      <c r="Z35" s="657">
        <f t="shared" si="10"/>
        <v>0</v>
      </c>
      <c r="AA35" s="706" t="e">
        <f t="shared" si="14"/>
        <v>#DIV/0!</v>
      </c>
      <c r="AB35" s="613">
        <v>0</v>
      </c>
      <c r="AC35" s="614"/>
    </row>
    <row r="36" spans="1:29" ht="15">
      <c r="A36" s="595"/>
      <c r="B36" s="666"/>
      <c r="C36" s="615" t="s">
        <v>1187</v>
      </c>
      <c r="D36" s="616"/>
      <c r="E36" s="616"/>
      <c r="F36" s="642">
        <f t="shared" si="0"/>
        <v>2.36</v>
      </c>
      <c r="G36" s="617">
        <f t="shared" si="1"/>
        <v>311498.37999999523</v>
      </c>
      <c r="H36" s="650">
        <f t="shared" si="2"/>
        <v>2.79</v>
      </c>
      <c r="I36" s="617">
        <f t="shared" si="3"/>
        <v>7008713.549999997</v>
      </c>
      <c r="J36" s="616"/>
      <c r="K36" s="616"/>
      <c r="L36" s="617">
        <f>L34+L35</f>
        <v>5163447</v>
      </c>
      <c r="M36" s="617">
        <f>M34+M35</f>
        <v>51772956802.45699</v>
      </c>
      <c r="N36" s="618"/>
      <c r="O36" s="702">
        <v>16469730</v>
      </c>
      <c r="P36" s="698">
        <f t="shared" si="15"/>
        <v>894811</v>
      </c>
      <c r="Q36" s="709">
        <v>15574919</v>
      </c>
      <c r="R36" s="651">
        <f t="shared" si="4"/>
        <v>5.43306417287958</v>
      </c>
      <c r="S36" s="654">
        <f t="shared" si="5"/>
        <v>3143.52</v>
      </c>
      <c r="T36" s="673"/>
      <c r="U36" s="622">
        <f t="shared" si="6"/>
        <v>10026.820610816185</v>
      </c>
      <c r="V36" s="633">
        <v>43582795</v>
      </c>
      <c r="W36" s="624">
        <f t="shared" si="7"/>
        <v>8.441</v>
      </c>
      <c r="X36" s="622">
        <f t="shared" si="8"/>
        <v>2.34</v>
      </c>
      <c r="Y36" s="656">
        <f t="shared" si="9"/>
        <v>36445310.46</v>
      </c>
      <c r="Z36" s="657">
        <f t="shared" si="10"/>
        <v>-7137484.539999999</v>
      </c>
      <c r="AA36" s="706">
        <f t="shared" si="14"/>
        <v>75.41085164835165</v>
      </c>
      <c r="AB36" s="613">
        <v>28</v>
      </c>
      <c r="AC36" s="614">
        <v>52293006</v>
      </c>
    </row>
    <row r="37" spans="1:30" ht="15">
      <c r="A37" s="1296">
        <v>12</v>
      </c>
      <c r="B37" s="1297" t="s">
        <v>1774</v>
      </c>
      <c r="C37" s="615" t="s">
        <v>1189</v>
      </c>
      <c r="D37" s="616">
        <v>10001.724</v>
      </c>
      <c r="E37" s="616">
        <v>10000.52</v>
      </c>
      <c r="F37" s="642" t="e">
        <f t="shared" si="0"/>
        <v>#DIV/0!</v>
      </c>
      <c r="G37" s="617" t="e">
        <f t="shared" si="1"/>
        <v>#DIV/0!</v>
      </c>
      <c r="H37" s="650" t="e">
        <f t="shared" si="2"/>
        <v>#DIV/0!</v>
      </c>
      <c r="I37" s="617" t="e">
        <f t="shared" si="3"/>
        <v>#DIV/0!</v>
      </c>
      <c r="J37" s="616">
        <v>2743937</v>
      </c>
      <c r="K37" s="616">
        <v>22860</v>
      </c>
      <c r="L37" s="617">
        <f t="shared" si="17"/>
        <v>2766797</v>
      </c>
      <c r="M37" s="643">
        <f t="shared" si="16"/>
        <v>27672712434.588</v>
      </c>
      <c r="N37" s="618"/>
      <c r="O37" s="619"/>
      <c r="P37" s="698">
        <f t="shared" si="15"/>
        <v>0</v>
      </c>
      <c r="Q37" s="619"/>
      <c r="R37" s="651" t="e">
        <f t="shared" si="4"/>
        <v>#DIV/0!</v>
      </c>
      <c r="S37" s="654" t="e">
        <f t="shared" si="5"/>
        <v>#DIV/0!</v>
      </c>
      <c r="T37" s="593"/>
      <c r="U37" s="622">
        <f t="shared" si="6"/>
        <v>10001.7140522373</v>
      </c>
      <c r="V37" s="633"/>
      <c r="W37" s="624">
        <f t="shared" si="7"/>
        <v>0</v>
      </c>
      <c r="X37" s="622">
        <f t="shared" si="8"/>
        <v>0</v>
      </c>
      <c r="Y37" s="656">
        <f t="shared" si="9"/>
        <v>0</v>
      </c>
      <c r="Z37" s="657">
        <f t="shared" si="10"/>
        <v>0</v>
      </c>
      <c r="AA37" s="706" t="e">
        <f t="shared" si="14"/>
        <v>#DIV/0!</v>
      </c>
      <c r="AB37" s="613">
        <v>0</v>
      </c>
      <c r="AC37" s="614"/>
      <c r="AD37" s="90">
        <v>6408334</v>
      </c>
    </row>
    <row r="38" spans="1:29" ht="15">
      <c r="A38" s="1299"/>
      <c r="B38" s="1300"/>
      <c r="C38" s="674" t="s">
        <v>1188</v>
      </c>
      <c r="D38" s="675">
        <v>9984.698</v>
      </c>
      <c r="E38" s="675">
        <v>9995.491</v>
      </c>
      <c r="F38" s="642" t="e">
        <f t="shared" si="0"/>
        <v>#DIV/0!</v>
      </c>
      <c r="G38" s="617" t="e">
        <f t="shared" si="1"/>
        <v>#DIV/0!</v>
      </c>
      <c r="H38" s="650" t="e">
        <f t="shared" si="2"/>
        <v>#DIV/0!</v>
      </c>
      <c r="I38" s="617" t="e">
        <f t="shared" si="3"/>
        <v>#DIV/0!</v>
      </c>
      <c r="J38" s="675">
        <v>2921672</v>
      </c>
      <c r="K38" s="675">
        <v>25955</v>
      </c>
      <c r="L38" s="617">
        <f t="shared" si="17"/>
        <v>2947627</v>
      </c>
      <c r="M38" s="643">
        <f t="shared" si="16"/>
        <v>29431445543.961</v>
      </c>
      <c r="N38" s="676"/>
      <c r="O38" s="702"/>
      <c r="P38" s="698">
        <f t="shared" si="15"/>
        <v>0</v>
      </c>
      <c r="Q38" s="619"/>
      <c r="R38" s="651" t="e">
        <f t="shared" si="4"/>
        <v>#DIV/0!</v>
      </c>
      <c r="S38" s="654" t="e">
        <f t="shared" si="5"/>
        <v>#DIV/0!</v>
      </c>
      <c r="T38" s="593"/>
      <c r="U38" s="622">
        <f t="shared" si="6"/>
        <v>9984.793036554829</v>
      </c>
      <c r="V38" s="633"/>
      <c r="W38" s="624">
        <f t="shared" si="7"/>
        <v>0</v>
      </c>
      <c r="X38" s="622">
        <f t="shared" si="8"/>
        <v>0</v>
      </c>
      <c r="Y38" s="656">
        <f t="shared" si="9"/>
        <v>0</v>
      </c>
      <c r="Z38" s="657">
        <f t="shared" si="10"/>
        <v>0</v>
      </c>
      <c r="AA38" s="706" t="e">
        <f t="shared" si="14"/>
        <v>#DIV/0!</v>
      </c>
      <c r="AB38" s="613">
        <v>0</v>
      </c>
      <c r="AC38" s="614"/>
    </row>
    <row r="39" spans="1:30" ht="15">
      <c r="A39" s="595"/>
      <c r="B39" s="666"/>
      <c r="C39" s="615" t="s">
        <v>1187</v>
      </c>
      <c r="D39" s="616"/>
      <c r="E39" s="616"/>
      <c r="F39" s="642">
        <f t="shared" si="0"/>
        <v>2.41</v>
      </c>
      <c r="G39" s="635"/>
      <c r="H39" s="650">
        <f t="shared" si="2"/>
        <v>2.34</v>
      </c>
      <c r="I39" s="617">
        <f t="shared" si="3"/>
        <v>-610679.1300000027</v>
      </c>
      <c r="J39" s="616"/>
      <c r="K39" s="616"/>
      <c r="L39" s="617">
        <f>L37+L38</f>
        <v>5714424</v>
      </c>
      <c r="M39" s="617">
        <f>M37+M38</f>
        <v>57104157978.548996</v>
      </c>
      <c r="N39" s="618"/>
      <c r="O39" s="614">
        <v>21823010</v>
      </c>
      <c r="P39" s="698">
        <f t="shared" si="15"/>
        <v>1467039</v>
      </c>
      <c r="Q39" s="614">
        <v>20355971</v>
      </c>
      <c r="R39" s="651">
        <f t="shared" si="4"/>
        <v>6.722441129798319</v>
      </c>
      <c r="S39" s="654">
        <f t="shared" si="5"/>
        <v>2616.69</v>
      </c>
      <c r="T39" s="611"/>
      <c r="U39" s="622">
        <f t="shared" si="6"/>
        <v>9992.985815989327</v>
      </c>
      <c r="V39" s="633">
        <v>48558226</v>
      </c>
      <c r="W39" s="624">
        <f t="shared" si="7"/>
        <v>8.497</v>
      </c>
      <c r="X39" s="622">
        <f t="shared" si="8"/>
        <v>2.37</v>
      </c>
      <c r="Y39" s="656">
        <f t="shared" si="9"/>
        <v>48243651.27</v>
      </c>
      <c r="Z39" s="657">
        <f t="shared" si="10"/>
        <v>-314574.7299999967</v>
      </c>
      <c r="AA39" s="710">
        <f t="shared" si="14"/>
        <v>90.25231596360629</v>
      </c>
      <c r="AB39" s="614">
        <v>31</v>
      </c>
      <c r="AC39" s="614">
        <v>68572334</v>
      </c>
      <c r="AD39" s="90">
        <v>6408334</v>
      </c>
    </row>
    <row r="40" spans="1:30" ht="15">
      <c r="A40" s="677"/>
      <c r="B40" s="678"/>
      <c r="C40" s="679"/>
      <c r="D40" s="680"/>
      <c r="E40" s="680"/>
      <c r="F40" s="680"/>
      <c r="G40" s="680"/>
      <c r="H40" s="681"/>
      <c r="I40" s="680"/>
      <c r="J40" s="680"/>
      <c r="K40" s="680"/>
      <c r="L40" s="680"/>
      <c r="M40" s="682"/>
      <c r="N40" s="682"/>
      <c r="O40" s="673"/>
      <c r="P40" s="673"/>
      <c r="Q40" s="683"/>
      <c r="R40" s="593"/>
      <c r="S40" s="593"/>
      <c r="T40" s="593"/>
      <c r="U40" s="593"/>
      <c r="V40" s="593"/>
      <c r="W40" s="593"/>
      <c r="X40" s="684"/>
      <c r="Y40" s="685"/>
      <c r="Z40" s="686">
        <f>SUM(Z6,Z9,Z12,Z15,Z18,Z21,Z24,Z27,Z30,Z33,Z36,Z39)</f>
        <v>-66217773.28000001</v>
      </c>
      <c r="AA40" s="685"/>
      <c r="AB40" s="685">
        <f>SUM(AB5:AB39)</f>
        <v>365</v>
      </c>
      <c r="AC40" s="685">
        <f>SUM(AC6:AC39)</f>
        <v>680466054</v>
      </c>
      <c r="AD40" s="90">
        <f>SUM(AD4:AD39)</f>
        <v>76900008</v>
      </c>
    </row>
    <row r="41" spans="1:30" ht="15">
      <c r="A41" s="677"/>
      <c r="B41" s="678"/>
      <c r="C41" s="593"/>
      <c r="D41" s="593"/>
      <c r="E41" s="593"/>
      <c r="F41" s="593"/>
      <c r="G41" s="593">
        <f>SUM(G6,G9,G12,G15,G18,G21,G24,G27,G30,G33,G36,G39)</f>
        <v>8526875.014000013</v>
      </c>
      <c r="H41" s="593"/>
      <c r="I41" s="593">
        <f>SUM(I6,I9,I12,I15,I18,I21,I24,I27,I30,I33,I36,I39)</f>
        <v>56107826.918000005</v>
      </c>
      <c r="J41" s="593"/>
      <c r="K41" s="593"/>
      <c r="L41" s="593"/>
      <c r="M41" s="593"/>
      <c r="N41" s="593"/>
      <c r="O41" s="687">
        <f>SUM(O6,O9,O12,O15,O18,O21,O24,O27,O30,O33,O36,O39)</f>
        <v>230336410</v>
      </c>
      <c r="P41" s="687">
        <f>SUM(P6,P9,P12,P15,P18,P21,P24,P27,P30,P33,P36,P39)</f>
        <v>15529397.4</v>
      </c>
      <c r="Q41" s="687">
        <f>SUM(Q6,Q9,Q12,Q15,Q18,Q21,Q24,Q27,Q30,Q33,Q36,Q39)</f>
        <v>214807012.6</v>
      </c>
      <c r="R41" s="688">
        <f>(P41/O41)*100</f>
        <v>6.742050638021145</v>
      </c>
      <c r="S41" s="593"/>
      <c r="T41" s="593"/>
      <c r="U41" s="593"/>
      <c r="V41" s="593">
        <f>SUM(V6,V9,V12,V15,V18,V21,V24,V27,V30,V33,V36,V39)</f>
        <v>554408342.23</v>
      </c>
      <c r="W41" s="593"/>
      <c r="X41" s="593"/>
      <c r="Y41" s="685">
        <f>SUM(Y6,Y9,Y12,Y15,Y18,Y21,Y24,Y27,Y30,Y33,Y36,Y39)</f>
        <v>488190568.95</v>
      </c>
      <c r="Z41" s="689">
        <f>Z40/10000000</f>
        <v>-6.621777328000001</v>
      </c>
      <c r="AA41" s="685"/>
      <c r="AB41" s="685"/>
      <c r="AC41" s="686">
        <f>AC40/10000000</f>
        <v>68.0466054</v>
      </c>
      <c r="AD41" s="690">
        <f>AD40/10000000</f>
        <v>7.6900008</v>
      </c>
    </row>
    <row r="42" spans="1:29" ht="15">
      <c r="A42" s="593"/>
      <c r="B42" s="593"/>
      <c r="C42" s="593"/>
      <c r="D42" s="593"/>
      <c r="E42" s="593"/>
      <c r="F42" s="593"/>
      <c r="G42" s="688">
        <f>G41/10000000</f>
        <v>0.8526875014000014</v>
      </c>
      <c r="H42" s="593"/>
      <c r="I42" s="688">
        <f>I41/10000000</f>
        <v>5.610782691800001</v>
      </c>
      <c r="J42" s="593"/>
      <c r="K42" s="593"/>
      <c r="L42" s="687">
        <f>SUM(L6,L9,L12,L15,L18,L21,L24,L27,L30,L33,L36,L39)</f>
        <v>67605388</v>
      </c>
      <c r="M42" s="687">
        <f>SUM(M6,M9,M12,M15,M18,M21,M24,M27,M30,M33,M36,M39)</f>
        <v>679294954652.7109</v>
      </c>
      <c r="N42" s="593"/>
      <c r="O42" s="686">
        <f>O41/1000000</f>
        <v>230.33641</v>
      </c>
      <c r="P42" s="686">
        <f>P41/1000000</f>
        <v>15.5293974</v>
      </c>
      <c r="Q42" s="686">
        <f>Q41/1000000</f>
        <v>214.8070126</v>
      </c>
      <c r="R42" s="593"/>
      <c r="S42" s="593"/>
      <c r="T42" s="593"/>
      <c r="U42" s="593"/>
      <c r="V42" s="686">
        <f>V41/10000000</f>
        <v>55.440834223</v>
      </c>
      <c r="W42" s="593"/>
      <c r="X42" s="593"/>
      <c r="Y42" s="686">
        <f>Y41/10000000</f>
        <v>48.819056894999996</v>
      </c>
      <c r="Z42" s="685"/>
      <c r="AA42" s="685"/>
      <c r="AB42" s="685"/>
      <c r="AC42" s="685"/>
    </row>
    <row r="43" spans="1:29" ht="15">
      <c r="A43" s="593"/>
      <c r="B43" s="593"/>
      <c r="C43" s="593"/>
      <c r="D43" s="593"/>
      <c r="E43" s="593"/>
      <c r="F43" s="593"/>
      <c r="G43" s="593"/>
      <c r="H43" s="593"/>
      <c r="I43" s="593"/>
      <c r="J43" s="593"/>
      <c r="K43" s="593"/>
      <c r="L43" s="593"/>
      <c r="M43" s="593"/>
      <c r="N43" s="593"/>
      <c r="O43" s="593"/>
      <c r="P43" s="688">
        <f>P41*100/O41</f>
        <v>6.742050638021145</v>
      </c>
      <c r="Q43" s="593"/>
      <c r="R43" s="593"/>
      <c r="S43" s="593"/>
      <c r="T43" s="593"/>
      <c r="U43" s="593"/>
      <c r="V43" s="593"/>
      <c r="W43" s="593"/>
      <c r="X43" s="593"/>
      <c r="Y43" s="593"/>
      <c r="Z43" s="593"/>
      <c r="AA43" s="593"/>
      <c r="AB43" s="593"/>
      <c r="AC43" s="593"/>
    </row>
    <row r="44" spans="1:29" ht="15">
      <c r="A44" s="1295" t="s">
        <v>1186</v>
      </c>
      <c r="B44" s="1295"/>
      <c r="C44" s="1295"/>
      <c r="D44" s="1295"/>
      <c r="E44" s="1295"/>
      <c r="F44" s="1295"/>
      <c r="G44" s="1295"/>
      <c r="H44" s="1295"/>
      <c r="I44" s="1295"/>
      <c r="J44" s="1295"/>
      <c r="K44" s="593" t="s">
        <v>1185</v>
      </c>
      <c r="L44" s="593"/>
      <c r="M44" s="691">
        <f>M42/L42</f>
        <v>10047.941070210423</v>
      </c>
      <c r="N44" s="593"/>
      <c r="O44" s="593" t="s">
        <v>1184</v>
      </c>
      <c r="P44" s="593"/>
      <c r="Q44" s="593"/>
      <c r="R44" s="593"/>
      <c r="S44" s="593"/>
      <c r="T44" s="593"/>
      <c r="U44" s="593" t="s">
        <v>1183</v>
      </c>
      <c r="V44" s="688">
        <f>(O41*100)/(780000*AB40)</f>
        <v>80.90495609413418</v>
      </c>
      <c r="W44" s="593"/>
      <c r="X44" s="593"/>
      <c r="Y44" s="593"/>
      <c r="Z44" s="593">
        <f>Q15*X15</f>
        <v>37732534.528000005</v>
      </c>
      <c r="AA44" s="593"/>
      <c r="AB44" s="593"/>
      <c r="AC44" s="593"/>
    </row>
    <row r="45" spans="1:29" ht="15">
      <c r="A45" s="593"/>
      <c r="B45" s="593"/>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f>19928367.8*2.87</f>
        <v>57194415.586</v>
      </c>
      <c r="AA45" s="593"/>
      <c r="AB45" s="593"/>
      <c r="AC45" s="593"/>
    </row>
    <row r="46" spans="1:29" ht="15">
      <c r="A46" s="1295" t="s">
        <v>1182</v>
      </c>
      <c r="B46" s="1295"/>
      <c r="C46" s="1295"/>
      <c r="D46" s="1295"/>
      <c r="E46" s="684">
        <f>ROUND((L42*M44)/O41,2)</f>
        <v>2949.14</v>
      </c>
      <c r="F46" s="684"/>
      <c r="G46" s="691">
        <f>(L42*M44)/O41</f>
        <v>2949.1427545159313</v>
      </c>
      <c r="H46" s="593"/>
      <c r="I46" s="593"/>
      <c r="J46" s="593" t="s">
        <v>1181</v>
      </c>
      <c r="K46" s="593"/>
      <c r="L46" s="593"/>
      <c r="M46" s="593"/>
      <c r="N46" s="593"/>
      <c r="O46" s="593"/>
      <c r="P46" s="593"/>
      <c r="Q46" s="593"/>
      <c r="R46" s="593"/>
      <c r="S46" s="593"/>
      <c r="T46" s="593"/>
      <c r="U46" s="593"/>
      <c r="V46" s="593"/>
      <c r="W46" s="593"/>
      <c r="X46" s="593"/>
      <c r="Y46" s="593"/>
      <c r="Z46" s="593"/>
      <c r="AA46" s="593"/>
      <c r="AB46" s="593"/>
      <c r="AC46" s="593"/>
    </row>
    <row r="47" spans="1:29" ht="15">
      <c r="A47" s="593"/>
      <c r="B47" s="593"/>
      <c r="C47" s="593"/>
      <c r="D47" s="593"/>
      <c r="E47" s="593"/>
      <c r="F47" s="593"/>
      <c r="G47" s="593"/>
      <c r="H47" s="703" t="s">
        <v>1864</v>
      </c>
      <c r="I47" s="593"/>
      <c r="J47" s="692">
        <f>V41/L42</f>
        <v>8.20065321169372</v>
      </c>
      <c r="K47" s="593"/>
      <c r="L47" s="593"/>
      <c r="M47" s="593"/>
      <c r="N47" s="593"/>
      <c r="O47" s="593"/>
      <c r="P47" s="593"/>
      <c r="Q47" s="593"/>
      <c r="R47" s="593"/>
      <c r="S47" s="593"/>
      <c r="T47" s="593"/>
      <c r="U47" s="593"/>
      <c r="V47" s="593"/>
      <c r="W47" s="593"/>
      <c r="X47" s="593"/>
      <c r="Y47" s="593"/>
      <c r="Z47" s="593"/>
      <c r="AA47" s="593"/>
      <c r="AB47" s="593"/>
      <c r="AC47" s="593"/>
    </row>
    <row r="48" spans="1:29" ht="15">
      <c r="A48" s="593" t="s">
        <v>1180</v>
      </c>
      <c r="B48" s="593"/>
      <c r="C48" s="593"/>
      <c r="D48" s="593"/>
      <c r="E48" s="593"/>
      <c r="F48" s="593"/>
      <c r="G48" s="593"/>
      <c r="H48" s="593"/>
      <c r="I48" s="593" t="s">
        <v>1179</v>
      </c>
      <c r="J48" s="593"/>
      <c r="K48" s="593" t="s">
        <v>1178</v>
      </c>
      <c r="L48" s="686">
        <f>(2646*C50*100)/(M44*(100-5))</f>
        <v>2.2731997631752963</v>
      </c>
      <c r="M48" s="593"/>
      <c r="N48" s="593"/>
      <c r="O48" s="593"/>
      <c r="P48" s="593"/>
      <c r="Q48" s="593"/>
      <c r="R48" s="593"/>
      <c r="S48" s="593"/>
      <c r="T48" s="593"/>
      <c r="U48" s="593"/>
      <c r="V48" s="593"/>
      <c r="W48" s="593"/>
      <c r="X48" s="593"/>
      <c r="Y48" s="593"/>
      <c r="Z48" s="593"/>
      <c r="AA48" s="593"/>
      <c r="AB48" s="593"/>
      <c r="AC48" s="593"/>
    </row>
    <row r="49" spans="1:29" ht="15">
      <c r="A49" s="593"/>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row>
    <row r="50" spans="1:29" ht="15">
      <c r="A50" s="593"/>
      <c r="B50" s="593" t="s">
        <v>1177</v>
      </c>
      <c r="C50" s="692">
        <f>V41/L42</f>
        <v>8.20065321169372</v>
      </c>
      <c r="D50" s="686">
        <f>V41*1000/L42</f>
        <v>8200.65321169372</v>
      </c>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row>
    <row r="51" spans="1:29" ht="15">
      <c r="A51" s="593"/>
      <c r="B51" s="593"/>
      <c r="C51" s="693"/>
      <c r="D51" s="593"/>
      <c r="E51" s="593"/>
      <c r="F51" s="593"/>
      <c r="G51" s="694"/>
      <c r="H51" s="695"/>
      <c r="I51" s="610"/>
      <c r="J51" s="593"/>
      <c r="K51" s="593"/>
      <c r="L51" s="593"/>
      <c r="M51" s="593"/>
      <c r="N51" s="593"/>
      <c r="O51" s="593"/>
      <c r="P51" s="593"/>
      <c r="Q51" s="593"/>
      <c r="R51" s="593"/>
      <c r="S51" s="593"/>
      <c r="T51" s="593"/>
      <c r="U51" s="593"/>
      <c r="V51" s="593"/>
      <c r="W51" s="593"/>
      <c r="X51" s="593"/>
      <c r="Y51" s="593"/>
      <c r="Z51" s="593"/>
      <c r="AA51" s="593"/>
      <c r="AB51" s="593"/>
      <c r="AC51" s="593"/>
    </row>
  </sheetData>
  <sheetProtection/>
  <mergeCells count="38">
    <mergeCell ref="A1:Z1"/>
    <mergeCell ref="D2:G2"/>
    <mergeCell ref="H2:I2"/>
    <mergeCell ref="J2:L2"/>
    <mergeCell ref="A4:A6"/>
    <mergeCell ref="B4:B6"/>
    <mergeCell ref="A7:A8"/>
    <mergeCell ref="B7:B8"/>
    <mergeCell ref="T7:T8"/>
    <mergeCell ref="A10:A11"/>
    <mergeCell ref="B10:B11"/>
    <mergeCell ref="T10:T11"/>
    <mergeCell ref="A13:A14"/>
    <mergeCell ref="B13:B14"/>
    <mergeCell ref="T13:T14"/>
    <mergeCell ref="A16:A17"/>
    <mergeCell ref="B16:B17"/>
    <mergeCell ref="T16:T17"/>
    <mergeCell ref="A19:A20"/>
    <mergeCell ref="B19:B20"/>
    <mergeCell ref="T19:T20"/>
    <mergeCell ref="A23:A24"/>
    <mergeCell ref="B23:B24"/>
    <mergeCell ref="T23:T24"/>
    <mergeCell ref="B26:B27"/>
    <mergeCell ref="A28:A29"/>
    <mergeCell ref="B28:B29"/>
    <mergeCell ref="T28:T29"/>
    <mergeCell ref="A31:A32"/>
    <mergeCell ref="B31:B32"/>
    <mergeCell ref="T31:T32"/>
    <mergeCell ref="A46:D46"/>
    <mergeCell ref="A34:A35"/>
    <mergeCell ref="B34:B35"/>
    <mergeCell ref="T34:T35"/>
    <mergeCell ref="A37:A38"/>
    <mergeCell ref="B37:B38"/>
    <mergeCell ref="A44:J44"/>
  </mergeCells>
  <printOptions horizontalCentered="1" verticalCentered="1"/>
  <pageMargins left="0.21" right="0.16" top="0.27" bottom="0.2" header="0.3" footer="0.3"/>
  <pageSetup horizontalDpi="600" verticalDpi="600" orientation="landscape" paperSize="9" scale="50" r:id="rId1"/>
</worksheet>
</file>

<file path=xl/worksheets/sheet29.xml><?xml version="1.0" encoding="utf-8"?>
<worksheet xmlns="http://schemas.openxmlformats.org/spreadsheetml/2006/main" xmlns:r="http://schemas.openxmlformats.org/officeDocument/2006/relationships">
  <dimension ref="A1:AD51"/>
  <sheetViews>
    <sheetView zoomScalePageLayoutView="0" workbookViewId="0" topLeftCell="A7">
      <selection activeCell="J45" sqref="J45"/>
    </sheetView>
  </sheetViews>
  <sheetFormatPr defaultColWidth="9.33203125" defaultRowHeight="12.75"/>
  <cols>
    <col min="1" max="1" width="4.5" style="90" customWidth="1"/>
    <col min="2" max="2" width="8.83203125" style="90" customWidth="1"/>
    <col min="3" max="3" width="12.33203125" style="90" customWidth="1"/>
    <col min="4" max="4" width="11.83203125" style="90" customWidth="1"/>
    <col min="5" max="5" width="12.33203125" style="90" customWidth="1"/>
    <col min="6" max="6" width="10.83203125" style="90" customWidth="1"/>
    <col min="7" max="7" width="11.66015625" style="90" customWidth="1"/>
    <col min="8" max="8" width="8.83203125" style="90" customWidth="1"/>
    <col min="9" max="9" width="11.66015625" style="90" customWidth="1"/>
    <col min="10" max="10" width="9.33203125" style="90" customWidth="1"/>
    <col min="11" max="11" width="9.16015625" style="90" customWidth="1"/>
    <col min="12" max="12" width="11.66015625" style="90" customWidth="1"/>
    <col min="13" max="13" width="15.66015625" style="90" customWidth="1"/>
    <col min="14" max="14" width="13.83203125" style="90" hidden="1" customWidth="1"/>
    <col min="15" max="15" width="12.5" style="90" customWidth="1"/>
    <col min="16" max="16" width="11.83203125" style="90" customWidth="1"/>
    <col min="17" max="17" width="13.33203125" style="90" customWidth="1"/>
    <col min="18" max="18" width="7.66015625" style="90" customWidth="1"/>
    <col min="19" max="19" width="10.66015625" style="90" customWidth="1"/>
    <col min="20" max="20" width="0.1640625" style="90" customWidth="1"/>
    <col min="21" max="21" width="11.16015625" style="90" customWidth="1"/>
    <col min="22" max="22" width="12.16015625" style="90" customWidth="1"/>
    <col min="23" max="24" width="8.83203125" style="90" customWidth="1"/>
    <col min="25" max="25" width="14" style="90" customWidth="1"/>
    <col min="26" max="26" width="15.5" style="90" customWidth="1"/>
    <col min="27" max="27" width="8.66015625" style="90" customWidth="1"/>
    <col min="28" max="28" width="6.5" style="90" customWidth="1"/>
    <col min="29" max="29" width="12.83203125" style="90" customWidth="1"/>
    <col min="30" max="30" width="13.5" style="90" customWidth="1"/>
    <col min="31" max="16384" width="9.33203125" style="90" customWidth="1"/>
  </cols>
  <sheetData>
    <row r="1" spans="1:29" ht="21">
      <c r="A1" s="1308" t="s">
        <v>1850</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593"/>
      <c r="AB1" s="593"/>
      <c r="AC1" s="593"/>
    </row>
    <row r="2" spans="1:30" ht="75">
      <c r="A2" s="594" t="s">
        <v>1230</v>
      </c>
      <c r="B2" s="595" t="s">
        <v>1229</v>
      </c>
      <c r="C2" s="596"/>
      <c r="D2" s="1309" t="s">
        <v>1228</v>
      </c>
      <c r="E2" s="1310"/>
      <c r="F2" s="1310"/>
      <c r="G2" s="1311"/>
      <c r="H2" s="1309"/>
      <c r="I2" s="1311"/>
      <c r="J2" s="1312" t="s">
        <v>1227</v>
      </c>
      <c r="K2" s="1313"/>
      <c r="L2" s="1314"/>
      <c r="M2" s="597" t="s">
        <v>1226</v>
      </c>
      <c r="N2" s="597" t="s">
        <v>1225</v>
      </c>
      <c r="O2" s="598" t="s">
        <v>1224</v>
      </c>
      <c r="P2" s="598" t="s">
        <v>1223</v>
      </c>
      <c r="Q2" s="599" t="s">
        <v>1222</v>
      </c>
      <c r="R2" s="600" t="s">
        <v>1221</v>
      </c>
      <c r="S2" s="600" t="s">
        <v>1220</v>
      </c>
      <c r="T2" s="601" t="s">
        <v>1219</v>
      </c>
      <c r="U2" s="602" t="s">
        <v>1218</v>
      </c>
      <c r="V2" s="602" t="s">
        <v>1217</v>
      </c>
      <c r="W2" s="603" t="s">
        <v>1216</v>
      </c>
      <c r="X2" s="603" t="s">
        <v>1215</v>
      </c>
      <c r="Y2" s="603" t="s">
        <v>1214</v>
      </c>
      <c r="Z2" s="602" t="s">
        <v>1213</v>
      </c>
      <c r="AA2" s="603" t="s">
        <v>1212</v>
      </c>
      <c r="AB2" s="603" t="s">
        <v>1211</v>
      </c>
      <c r="AC2" s="604" t="s">
        <v>1763</v>
      </c>
      <c r="AD2" s="603" t="s">
        <v>1837</v>
      </c>
    </row>
    <row r="3" spans="1:30" ht="44.25" customHeight="1">
      <c r="A3" s="606"/>
      <c r="B3" s="606"/>
      <c r="C3" s="606"/>
      <c r="D3" s="607" t="s">
        <v>1203</v>
      </c>
      <c r="E3" s="607" t="s">
        <v>1208</v>
      </c>
      <c r="F3" s="607" t="s">
        <v>1207</v>
      </c>
      <c r="G3" s="608" t="s">
        <v>1206</v>
      </c>
      <c r="H3" s="607" t="s">
        <v>1205</v>
      </c>
      <c r="I3" s="608" t="s">
        <v>1204</v>
      </c>
      <c r="J3" s="607" t="s">
        <v>1203</v>
      </c>
      <c r="K3" s="607" t="s">
        <v>1202</v>
      </c>
      <c r="L3" s="607"/>
      <c r="M3" s="602"/>
      <c r="N3" s="602"/>
      <c r="O3" s="696"/>
      <c r="P3" s="696"/>
      <c r="Q3" s="611"/>
      <c r="R3" s="611"/>
      <c r="S3" s="611"/>
      <c r="T3" s="612"/>
      <c r="U3" s="613"/>
      <c r="V3" s="613"/>
      <c r="W3" s="613"/>
      <c r="X3" s="611"/>
      <c r="Y3" s="611"/>
      <c r="Z3" s="611"/>
      <c r="AA3" s="611"/>
      <c r="AB3" s="614"/>
      <c r="AC3" s="614"/>
      <c r="AD3" s="225"/>
    </row>
    <row r="4" spans="1:30" ht="15">
      <c r="A4" s="1299">
        <v>1</v>
      </c>
      <c r="B4" s="1300" t="s">
        <v>1851</v>
      </c>
      <c r="C4" s="615" t="s">
        <v>1189</v>
      </c>
      <c r="D4" s="616">
        <v>9993.964</v>
      </c>
      <c r="E4" s="616">
        <v>9995.954</v>
      </c>
      <c r="F4" s="617" t="e">
        <f aca="true" t="shared" si="0" ref="F4:F39">ROUND((2646*W4*100)/(U4*(100-R4)),2)</f>
        <v>#DIV/0!</v>
      </c>
      <c r="G4" s="617" t="e">
        <f aca="true" t="shared" si="1" ref="G4:G39">(Q4*F4)-Y4</f>
        <v>#DIV/0!</v>
      </c>
      <c r="H4" s="617" t="e">
        <f aca="true" t="shared" si="2" ref="H4:H39">ROUND((S4*W4*100)/(U4*95),2)</f>
        <v>#DIV/0!</v>
      </c>
      <c r="I4" s="617" t="e">
        <f aca="true" t="shared" si="3" ref="I4:I39">(Q4*H4)-Y4</f>
        <v>#DIV/0!</v>
      </c>
      <c r="J4" s="616">
        <v>2744084</v>
      </c>
      <c r="K4" s="617">
        <v>79887</v>
      </c>
      <c r="L4" s="617">
        <f>J4+K4</f>
        <v>2823971</v>
      </c>
      <c r="M4" s="618">
        <f>D4*J4+E4*K4</f>
        <v>28222823486.174004</v>
      </c>
      <c r="N4" s="618" t="e">
        <f>H4*J4+I4*K4</f>
        <v>#DIV/0!</v>
      </c>
      <c r="O4" s="619"/>
      <c r="P4" s="619"/>
      <c r="Q4" s="619">
        <f>O4-P4</f>
        <v>0</v>
      </c>
      <c r="R4" s="620" t="e">
        <f aca="true" t="shared" si="4" ref="R4:R39">P4*100/O4</f>
        <v>#DIV/0!</v>
      </c>
      <c r="S4" s="620" t="e">
        <f aca="true" t="shared" si="5" ref="S4:S39">ROUND((M4)/O4,2)</f>
        <v>#DIV/0!</v>
      </c>
      <c r="T4" s="621"/>
      <c r="U4" s="622">
        <f aca="true" t="shared" si="6" ref="U4:U39">M4/L4</f>
        <v>9994.02029488759</v>
      </c>
      <c r="V4" s="623"/>
      <c r="W4" s="624">
        <f aca="true" t="shared" si="7" ref="W4:W39">ROUND(V4/L4,3)</f>
        <v>0</v>
      </c>
      <c r="X4" s="622">
        <f aca="true" t="shared" si="8" ref="X4:X39">ROUND((2646*W4*100)/(U4*95),2)</f>
        <v>0</v>
      </c>
      <c r="Y4" s="625">
        <f aca="true" t="shared" si="9" ref="Y4:Y39">X4*Q4</f>
        <v>0</v>
      </c>
      <c r="Z4" s="626">
        <f aca="true" t="shared" si="10" ref="Z4:Z39">Y4-V4</f>
        <v>0</v>
      </c>
      <c r="AA4" s="611"/>
      <c r="AB4" s="614"/>
      <c r="AC4" s="614"/>
      <c r="AD4" s="225"/>
    </row>
    <row r="5" spans="1:30" ht="15">
      <c r="A5" s="1315"/>
      <c r="B5" s="1316"/>
      <c r="C5" s="615" t="s">
        <v>1188</v>
      </c>
      <c r="D5" s="616">
        <v>9996.927</v>
      </c>
      <c r="E5" s="616">
        <v>9996.451</v>
      </c>
      <c r="F5" s="617" t="e">
        <f t="shared" si="0"/>
        <v>#DIV/0!</v>
      </c>
      <c r="G5" s="617" t="e">
        <f t="shared" si="1"/>
        <v>#DIV/0!</v>
      </c>
      <c r="H5" s="617" t="e">
        <f t="shared" si="2"/>
        <v>#DIV/0!</v>
      </c>
      <c r="I5" s="617" t="e">
        <f t="shared" si="3"/>
        <v>#DIV/0!</v>
      </c>
      <c r="J5" s="616">
        <v>2738248</v>
      </c>
      <c r="K5" s="617">
        <v>68825</v>
      </c>
      <c r="L5" s="617">
        <f>J5+K5</f>
        <v>2807073</v>
      </c>
      <c r="M5" s="618">
        <f>D5*J5+E5*K5</f>
        <v>28062071103.971</v>
      </c>
      <c r="N5" s="618" t="e">
        <f>H5*L5</f>
        <v>#DIV/0!</v>
      </c>
      <c r="O5" s="670"/>
      <c r="P5" s="670"/>
      <c r="Q5" s="619">
        <f>O5-P5</f>
        <v>0</v>
      </c>
      <c r="R5" s="620" t="e">
        <f t="shared" si="4"/>
        <v>#DIV/0!</v>
      </c>
      <c r="S5" s="620" t="e">
        <f t="shared" si="5"/>
        <v>#DIV/0!</v>
      </c>
      <c r="T5" s="627"/>
      <c r="U5" s="622">
        <f t="shared" si="6"/>
        <v>9996.915329231197</v>
      </c>
      <c r="V5" s="613"/>
      <c r="W5" s="624">
        <f t="shared" si="7"/>
        <v>0</v>
      </c>
      <c r="X5" s="622">
        <f t="shared" si="8"/>
        <v>0</v>
      </c>
      <c r="Y5" s="625">
        <f t="shared" si="9"/>
        <v>0</v>
      </c>
      <c r="Z5" s="626">
        <f t="shared" si="10"/>
        <v>0</v>
      </c>
      <c r="AA5" s="611"/>
      <c r="AB5" s="614"/>
      <c r="AC5" s="614"/>
      <c r="AD5" s="225"/>
    </row>
    <row r="6" spans="1:30" ht="15">
      <c r="A6" s="1302"/>
      <c r="B6" s="1301"/>
      <c r="C6" s="615" t="s">
        <v>1187</v>
      </c>
      <c r="D6" s="616"/>
      <c r="E6" s="616"/>
      <c r="F6" s="617">
        <f t="shared" si="0"/>
        <v>2.57</v>
      </c>
      <c r="G6" s="617">
        <f t="shared" si="1"/>
        <v>1156821.0960000008</v>
      </c>
      <c r="H6" s="617">
        <f t="shared" si="2"/>
        <v>2.58</v>
      </c>
      <c r="I6" s="617">
        <f t="shared" si="3"/>
        <v>1349624.6120000035</v>
      </c>
      <c r="J6" s="616"/>
      <c r="K6" s="617"/>
      <c r="L6" s="628">
        <f>SUM(L4:L5)</f>
        <v>5631044</v>
      </c>
      <c r="M6" s="629">
        <f>SUM(M4:M5)</f>
        <v>56284894590.145004</v>
      </c>
      <c r="N6" s="618"/>
      <c r="O6" s="672">
        <v>20716140</v>
      </c>
      <c r="P6" s="672">
        <f>O6-Q6</f>
        <v>1435788.3999999985</v>
      </c>
      <c r="Q6" s="619">
        <v>19280351.6</v>
      </c>
      <c r="R6" s="620">
        <f t="shared" si="4"/>
        <v>6.930771852285216</v>
      </c>
      <c r="S6" s="631">
        <f t="shared" si="5"/>
        <v>2716.96</v>
      </c>
      <c r="T6" s="632"/>
      <c r="U6" s="622">
        <f t="shared" si="6"/>
        <v>9995.463468256508</v>
      </c>
      <c r="V6" s="633">
        <v>50807291</v>
      </c>
      <c r="W6" s="624">
        <f t="shared" si="7"/>
        <v>9.023</v>
      </c>
      <c r="X6" s="622">
        <f t="shared" si="8"/>
        <v>2.51</v>
      </c>
      <c r="Y6" s="623">
        <f t="shared" si="9"/>
        <v>48393682.516</v>
      </c>
      <c r="Z6" s="697">
        <f t="shared" si="10"/>
        <v>-2413608.4839999974</v>
      </c>
      <c r="AA6" s="634">
        <f>O6*100/(780000*AB6)</f>
        <v>88.53051282051283</v>
      </c>
      <c r="AB6" s="614">
        <v>30</v>
      </c>
      <c r="AC6" s="614">
        <v>81393683</v>
      </c>
      <c r="AD6" s="225"/>
    </row>
    <row r="7" spans="1:30" ht="15">
      <c r="A7" s="1299">
        <v>2</v>
      </c>
      <c r="B7" s="1303" t="s">
        <v>1852</v>
      </c>
      <c r="C7" s="615" t="s">
        <v>1189</v>
      </c>
      <c r="D7" s="635">
        <v>10002.507</v>
      </c>
      <c r="E7" s="635">
        <v>9991.759</v>
      </c>
      <c r="F7" s="617" t="e">
        <f t="shared" si="0"/>
        <v>#DIV/0!</v>
      </c>
      <c r="G7" s="617" t="e">
        <f t="shared" si="1"/>
        <v>#DIV/0!</v>
      </c>
      <c r="H7" s="617" t="e">
        <f t="shared" si="2"/>
        <v>#DIV/0!</v>
      </c>
      <c r="I7" s="617" t="e">
        <f t="shared" si="3"/>
        <v>#DIV/0!</v>
      </c>
      <c r="J7" s="635">
        <v>2542143</v>
      </c>
      <c r="K7" s="636">
        <v>6555</v>
      </c>
      <c r="L7" s="637">
        <f>+J7+K7</f>
        <v>2548698</v>
      </c>
      <c r="M7" s="636">
        <f>D7*J7+E7*K7</f>
        <v>25493299132.746</v>
      </c>
      <c r="N7" s="636" t="e">
        <f>H7*L7</f>
        <v>#DIV/0!</v>
      </c>
      <c r="O7" s="664"/>
      <c r="P7" s="672">
        <f aca="true" t="shared" si="11" ref="P7:P39">O7-Q7</f>
        <v>0</v>
      </c>
      <c r="Q7" s="619"/>
      <c r="R7" s="620" t="e">
        <f t="shared" si="4"/>
        <v>#DIV/0!</v>
      </c>
      <c r="S7" s="620" t="e">
        <f t="shared" si="5"/>
        <v>#DIV/0!</v>
      </c>
      <c r="T7" s="1306"/>
      <c r="U7" s="622">
        <f t="shared" si="6"/>
        <v>10002.47935720356</v>
      </c>
      <c r="V7" s="613"/>
      <c r="W7" s="624">
        <f t="shared" si="7"/>
        <v>0</v>
      </c>
      <c r="X7" s="622">
        <f t="shared" si="8"/>
        <v>0</v>
      </c>
      <c r="Y7" s="625">
        <f t="shared" si="9"/>
        <v>0</v>
      </c>
      <c r="Z7" s="639">
        <f t="shared" si="10"/>
        <v>0</v>
      </c>
      <c r="AA7" s="634" t="e">
        <f aca="true" t="shared" si="12" ref="AA7:AA39">O7*100/(780000*AB7)</f>
        <v>#DIV/0!</v>
      </c>
      <c r="AB7" s="613"/>
      <c r="AC7" s="613"/>
      <c r="AD7" s="225">
        <v>24858333.33</v>
      </c>
    </row>
    <row r="8" spans="1:30" ht="15">
      <c r="A8" s="1302"/>
      <c r="B8" s="1304"/>
      <c r="C8" s="615" t="s">
        <v>1188</v>
      </c>
      <c r="D8" s="635">
        <v>10090.558</v>
      </c>
      <c r="E8" s="635">
        <v>10063.724</v>
      </c>
      <c r="F8" s="617" t="e">
        <f t="shared" si="0"/>
        <v>#DIV/0!</v>
      </c>
      <c r="G8" s="617" t="e">
        <f t="shared" si="1"/>
        <v>#DIV/0!</v>
      </c>
      <c r="H8" s="617" t="e">
        <f t="shared" si="2"/>
        <v>#DIV/0!</v>
      </c>
      <c r="I8" s="617" t="e">
        <f t="shared" si="3"/>
        <v>#DIV/0!</v>
      </c>
      <c r="J8" s="635">
        <v>2805703</v>
      </c>
      <c r="K8" s="635">
        <v>5748</v>
      </c>
      <c r="L8" s="637">
        <f>+J8+K8</f>
        <v>2811451</v>
      </c>
      <c r="M8" s="636">
        <f>D8*J8+E8*K8</f>
        <v>28368955137.826</v>
      </c>
      <c r="N8" s="636" t="e">
        <f>H8*L8</f>
        <v>#DIV/0!</v>
      </c>
      <c r="O8" s="698"/>
      <c r="P8" s="672">
        <f t="shared" si="11"/>
        <v>0</v>
      </c>
      <c r="Q8" s="619"/>
      <c r="R8" s="620" t="e">
        <f t="shared" si="4"/>
        <v>#DIV/0!</v>
      </c>
      <c r="S8" s="620" t="e">
        <f t="shared" si="5"/>
        <v>#DIV/0!</v>
      </c>
      <c r="T8" s="1307"/>
      <c r="U8" s="622">
        <f t="shared" si="6"/>
        <v>10090.503137997426</v>
      </c>
      <c r="V8" s="613"/>
      <c r="W8" s="624">
        <f t="shared" si="7"/>
        <v>0</v>
      </c>
      <c r="X8" s="622">
        <f t="shared" si="8"/>
        <v>0</v>
      </c>
      <c r="Y8" s="625">
        <f t="shared" si="9"/>
        <v>0</v>
      </c>
      <c r="Z8" s="639">
        <f t="shared" si="10"/>
        <v>0</v>
      </c>
      <c r="AA8" s="634" t="e">
        <f t="shared" si="12"/>
        <v>#DIV/0!</v>
      </c>
      <c r="AB8" s="613"/>
      <c r="AC8" s="613"/>
      <c r="AD8" s="225"/>
    </row>
    <row r="9" spans="1:30" ht="15">
      <c r="A9" s="640"/>
      <c r="B9" s="641"/>
      <c r="C9" s="615" t="s">
        <v>1187</v>
      </c>
      <c r="D9" s="642"/>
      <c r="E9" s="642"/>
      <c r="F9" s="617">
        <f t="shared" si="0"/>
        <v>2.6</v>
      </c>
      <c r="G9" s="617">
        <f t="shared" si="1"/>
        <v>1121804.388000004</v>
      </c>
      <c r="H9" s="617">
        <f t="shared" si="2"/>
        <v>2.56</v>
      </c>
      <c r="I9" s="617">
        <f t="shared" si="3"/>
        <v>373934.7960000038</v>
      </c>
      <c r="J9" s="642"/>
      <c r="K9" s="635"/>
      <c r="L9" s="637">
        <f>SUM(L7:L8)</f>
        <v>5360149</v>
      </c>
      <c r="M9" s="644">
        <f>SUM(M7:M8)</f>
        <v>53862254270.572</v>
      </c>
      <c r="N9" s="636"/>
      <c r="O9" s="699">
        <v>20147730</v>
      </c>
      <c r="P9" s="672">
        <f t="shared" si="11"/>
        <v>1450990.1999999993</v>
      </c>
      <c r="Q9" s="645">
        <v>18696739.8</v>
      </c>
      <c r="R9" s="620">
        <f t="shared" si="4"/>
        <v>7.2017552349569876</v>
      </c>
      <c r="S9" s="631">
        <f t="shared" si="5"/>
        <v>2673.37</v>
      </c>
      <c r="T9" s="646"/>
      <c r="U9" s="622">
        <f t="shared" si="6"/>
        <v>10048.648698118654</v>
      </c>
      <c r="V9" s="633">
        <v>49034794</v>
      </c>
      <c r="W9" s="624">
        <f t="shared" si="7"/>
        <v>9.148</v>
      </c>
      <c r="X9" s="622">
        <f t="shared" si="8"/>
        <v>2.54</v>
      </c>
      <c r="Y9" s="623">
        <f t="shared" si="9"/>
        <v>47489719.092</v>
      </c>
      <c r="Z9" s="697">
        <f t="shared" si="10"/>
        <v>-1545074.9079999998</v>
      </c>
      <c r="AA9" s="634">
        <f t="shared" si="12"/>
        <v>83.32394540942929</v>
      </c>
      <c r="AB9" s="613">
        <v>31</v>
      </c>
      <c r="AC9" s="613">
        <v>81338308</v>
      </c>
      <c r="AD9" s="225"/>
    </row>
    <row r="10" spans="1:30" ht="15">
      <c r="A10" s="1299">
        <v>3</v>
      </c>
      <c r="B10" s="1303" t="s">
        <v>1853</v>
      </c>
      <c r="C10" s="615" t="s">
        <v>1189</v>
      </c>
      <c r="D10" s="647">
        <v>10024.491</v>
      </c>
      <c r="E10" s="647">
        <v>10026.765</v>
      </c>
      <c r="F10" s="617" t="e">
        <f t="shared" si="0"/>
        <v>#DIV/0!</v>
      </c>
      <c r="G10" s="617" t="e">
        <f t="shared" si="1"/>
        <v>#DIV/0!</v>
      </c>
      <c r="H10" s="617" t="e">
        <f t="shared" si="2"/>
        <v>#DIV/0!</v>
      </c>
      <c r="I10" s="617" t="e">
        <f t="shared" si="3"/>
        <v>#DIV/0!</v>
      </c>
      <c r="J10" s="647">
        <v>2692852</v>
      </c>
      <c r="K10" s="635">
        <v>61444</v>
      </c>
      <c r="L10" s="637">
        <f aca="true" t="shared" si="13" ref="L10:L16">+J10+K10</f>
        <v>2754296</v>
      </c>
      <c r="M10" s="636">
        <f>D10*J10+E10*K10</f>
        <v>27610555186.992</v>
      </c>
      <c r="N10" s="636" t="e">
        <f>H10*L10</f>
        <v>#DIV/0!</v>
      </c>
      <c r="O10" s="664"/>
      <c r="P10" s="672">
        <f t="shared" si="11"/>
        <v>0</v>
      </c>
      <c r="Q10" s="700"/>
      <c r="R10" s="620" t="e">
        <f t="shared" si="4"/>
        <v>#DIV/0!</v>
      </c>
      <c r="S10" s="620" t="e">
        <f t="shared" si="5"/>
        <v>#DIV/0!</v>
      </c>
      <c r="T10" s="1306"/>
      <c r="U10" s="622">
        <f t="shared" si="6"/>
        <v>10024.541729353708</v>
      </c>
      <c r="V10" s="613"/>
      <c r="W10" s="624">
        <f t="shared" si="7"/>
        <v>0</v>
      </c>
      <c r="X10" s="622">
        <f t="shared" si="8"/>
        <v>0</v>
      </c>
      <c r="Y10" s="625">
        <f t="shared" si="9"/>
        <v>0</v>
      </c>
      <c r="Z10" s="639">
        <f t="shared" si="10"/>
        <v>0</v>
      </c>
      <c r="AA10" s="634" t="e">
        <f t="shared" si="12"/>
        <v>#DIV/0!</v>
      </c>
      <c r="AB10" s="613"/>
      <c r="AC10" s="613"/>
      <c r="AD10" s="225">
        <v>24331921.57</v>
      </c>
    </row>
    <row r="11" spans="1:30" ht="15">
      <c r="A11" s="1302"/>
      <c r="B11" s="1304"/>
      <c r="C11" s="615" t="s">
        <v>1188</v>
      </c>
      <c r="D11" s="647">
        <v>10018.381</v>
      </c>
      <c r="E11" s="647">
        <v>10028.441</v>
      </c>
      <c r="F11" s="617" t="e">
        <f t="shared" si="0"/>
        <v>#DIV/0!</v>
      </c>
      <c r="G11" s="617" t="e">
        <f t="shared" si="1"/>
        <v>#DIV/0!</v>
      </c>
      <c r="H11" s="617" t="e">
        <f t="shared" si="2"/>
        <v>#DIV/0!</v>
      </c>
      <c r="I11" s="617" t="e">
        <f t="shared" si="3"/>
        <v>#DIV/0!</v>
      </c>
      <c r="J11" s="635">
        <v>2744292</v>
      </c>
      <c r="K11" s="635">
        <v>70270</v>
      </c>
      <c r="L11" s="637">
        <f t="shared" si="13"/>
        <v>2814562</v>
      </c>
      <c r="M11" s="636">
        <f>D11*J11+E11*K11</f>
        <v>28198061380.322</v>
      </c>
      <c r="N11" s="636" t="e">
        <f>H11*L11</f>
        <v>#DIV/0!</v>
      </c>
      <c r="O11" s="698"/>
      <c r="P11" s="672">
        <f t="shared" si="11"/>
        <v>0</v>
      </c>
      <c r="Q11" s="700"/>
      <c r="R11" s="620" t="e">
        <f t="shared" si="4"/>
        <v>#DIV/0!</v>
      </c>
      <c r="S11" s="620" t="e">
        <f t="shared" si="5"/>
        <v>#DIV/0!</v>
      </c>
      <c r="T11" s="1307"/>
      <c r="U11" s="622">
        <f t="shared" si="6"/>
        <v>10018.632163840057</v>
      </c>
      <c r="V11" s="613"/>
      <c r="W11" s="624">
        <f t="shared" si="7"/>
        <v>0</v>
      </c>
      <c r="X11" s="622">
        <f t="shared" si="8"/>
        <v>0</v>
      </c>
      <c r="Y11" s="625">
        <f t="shared" si="9"/>
        <v>0</v>
      </c>
      <c r="Z11" s="639">
        <f t="shared" si="10"/>
        <v>0</v>
      </c>
      <c r="AA11" s="634" t="e">
        <f t="shared" si="12"/>
        <v>#DIV/0!</v>
      </c>
      <c r="AB11" s="613"/>
      <c r="AC11" s="613"/>
      <c r="AD11" s="225"/>
    </row>
    <row r="12" spans="1:30" ht="15">
      <c r="A12" s="640"/>
      <c r="B12" s="641"/>
      <c r="C12" s="615" t="s">
        <v>1187</v>
      </c>
      <c r="D12" s="648"/>
      <c r="E12" s="648"/>
      <c r="F12" s="617">
        <f t="shared" si="0"/>
        <v>2.64</v>
      </c>
      <c r="G12" s="617">
        <f t="shared" si="1"/>
        <v>778433.7280000001</v>
      </c>
      <c r="H12" s="617">
        <f t="shared" si="2"/>
        <v>2.64</v>
      </c>
      <c r="I12" s="617">
        <f t="shared" si="3"/>
        <v>778433.7280000001</v>
      </c>
      <c r="J12" s="635"/>
      <c r="K12" s="635"/>
      <c r="L12" s="637">
        <f>SUM(L10:L11)</f>
        <v>5568858</v>
      </c>
      <c r="M12" s="644">
        <f>SUM(M10:M11)</f>
        <v>55808616567.313995</v>
      </c>
      <c r="N12" s="636">
        <f>H12*L12</f>
        <v>14701785.120000001</v>
      </c>
      <c r="O12" s="699">
        <v>20805930</v>
      </c>
      <c r="P12" s="672">
        <f t="shared" si="11"/>
        <v>1345086.8000000007</v>
      </c>
      <c r="Q12" s="645">
        <v>19460843.2</v>
      </c>
      <c r="R12" s="620">
        <f t="shared" si="4"/>
        <v>6.464920337615289</v>
      </c>
      <c r="S12" s="631">
        <f t="shared" si="5"/>
        <v>2682.34</v>
      </c>
      <c r="T12" s="649"/>
      <c r="U12" s="622">
        <f t="shared" si="6"/>
        <v>10021.55497003407</v>
      </c>
      <c r="V12" s="633">
        <v>52119047</v>
      </c>
      <c r="W12" s="624">
        <f t="shared" si="7"/>
        <v>9.359</v>
      </c>
      <c r="X12" s="622">
        <f t="shared" si="8"/>
        <v>2.6</v>
      </c>
      <c r="Y12" s="623">
        <f t="shared" si="9"/>
        <v>50598192.32</v>
      </c>
      <c r="Z12" s="633">
        <f t="shared" si="10"/>
        <v>-1520854.6799999997</v>
      </c>
      <c r="AA12" s="634">
        <f t="shared" si="12"/>
        <v>88.91423076923077</v>
      </c>
      <c r="AB12" s="613">
        <v>30</v>
      </c>
      <c r="AC12" s="613">
        <v>85499604</v>
      </c>
      <c r="AD12" s="225"/>
    </row>
    <row r="13" spans="1:30" ht="15">
      <c r="A13" s="1299">
        <v>4</v>
      </c>
      <c r="B13" s="1300" t="s">
        <v>1854</v>
      </c>
      <c r="C13" s="615" t="s">
        <v>1189</v>
      </c>
      <c r="D13" s="635">
        <v>10017.555</v>
      </c>
      <c r="E13" s="635">
        <v>10014.071</v>
      </c>
      <c r="F13" s="635" t="e">
        <f t="shared" si="0"/>
        <v>#DIV/0!</v>
      </c>
      <c r="G13" s="617" t="e">
        <f t="shared" si="1"/>
        <v>#DIV/0!</v>
      </c>
      <c r="H13" s="650" t="e">
        <f t="shared" si="2"/>
        <v>#DIV/0!</v>
      </c>
      <c r="I13" s="617" t="e">
        <f t="shared" si="3"/>
        <v>#DIV/0!</v>
      </c>
      <c r="J13" s="635">
        <v>2758859</v>
      </c>
      <c r="K13" s="635">
        <v>66446</v>
      </c>
      <c r="L13" s="637">
        <f t="shared" si="13"/>
        <v>2825305</v>
      </c>
      <c r="M13" s="636">
        <f>D13*J13+E13*K13</f>
        <v>28302416731.411</v>
      </c>
      <c r="N13" s="636" t="e">
        <f>H13*L13</f>
        <v>#DIV/0!</v>
      </c>
      <c r="O13" s="664"/>
      <c r="P13" s="672">
        <f t="shared" si="11"/>
        <v>0</v>
      </c>
      <c r="Q13" s="700"/>
      <c r="R13" s="651" t="e">
        <f t="shared" si="4"/>
        <v>#DIV/0!</v>
      </c>
      <c r="S13" s="651" t="e">
        <f t="shared" si="5"/>
        <v>#DIV/0!</v>
      </c>
      <c r="T13" s="1305"/>
      <c r="U13" s="622">
        <f t="shared" si="6"/>
        <v>10017.473062699779</v>
      </c>
      <c r="V13" s="613"/>
      <c r="W13" s="624">
        <f t="shared" si="7"/>
        <v>0</v>
      </c>
      <c r="X13" s="622">
        <f t="shared" si="8"/>
        <v>0</v>
      </c>
      <c r="Y13" s="625">
        <f t="shared" si="9"/>
        <v>0</v>
      </c>
      <c r="Z13" s="639">
        <f t="shared" si="10"/>
        <v>0</v>
      </c>
      <c r="AA13" s="634" t="e">
        <f t="shared" si="12"/>
        <v>#DIV/0!</v>
      </c>
      <c r="AB13" s="613"/>
      <c r="AC13" s="613"/>
      <c r="AD13" s="225">
        <v>25384745.1</v>
      </c>
    </row>
    <row r="14" spans="1:30" ht="15">
      <c r="A14" s="1302"/>
      <c r="B14" s="1301"/>
      <c r="C14" s="615" t="s">
        <v>1188</v>
      </c>
      <c r="D14" s="652">
        <v>9969.731</v>
      </c>
      <c r="E14" s="652">
        <v>9966.048</v>
      </c>
      <c r="F14" s="635" t="e">
        <f t="shared" si="0"/>
        <v>#DIV/0!</v>
      </c>
      <c r="G14" s="617" t="e">
        <f t="shared" si="1"/>
        <v>#DIV/0!</v>
      </c>
      <c r="H14" s="650" t="e">
        <f t="shared" si="2"/>
        <v>#DIV/0!</v>
      </c>
      <c r="I14" s="617" t="e">
        <f t="shared" si="3"/>
        <v>#DIV/0!</v>
      </c>
      <c r="J14" s="635">
        <v>2920615</v>
      </c>
      <c r="K14" s="635">
        <v>57577</v>
      </c>
      <c r="L14" s="637">
        <f t="shared" si="13"/>
        <v>2978192</v>
      </c>
      <c r="M14" s="636">
        <f>D14*J14+E14*K14</f>
        <v>29691561050.260998</v>
      </c>
      <c r="N14" s="636" t="e">
        <f>H14*L14</f>
        <v>#DIV/0!</v>
      </c>
      <c r="O14" s="698"/>
      <c r="P14" s="672">
        <f t="shared" si="11"/>
        <v>0</v>
      </c>
      <c r="Q14" s="700"/>
      <c r="R14" s="651" t="e">
        <f t="shared" si="4"/>
        <v>#DIV/0!</v>
      </c>
      <c r="S14" s="651" t="e">
        <f t="shared" si="5"/>
        <v>#DIV/0!</v>
      </c>
      <c r="T14" s="1305"/>
      <c r="U14" s="622">
        <f t="shared" si="6"/>
        <v>9969.65979703827</v>
      </c>
      <c r="V14" s="613"/>
      <c r="W14" s="624">
        <f t="shared" si="7"/>
        <v>0</v>
      </c>
      <c r="X14" s="622">
        <f t="shared" si="8"/>
        <v>0</v>
      </c>
      <c r="Y14" s="613">
        <f t="shared" si="9"/>
        <v>0</v>
      </c>
      <c r="Z14" s="613">
        <f t="shared" si="10"/>
        <v>0</v>
      </c>
      <c r="AA14" s="634" t="e">
        <f t="shared" si="12"/>
        <v>#DIV/0!</v>
      </c>
      <c r="AB14" s="613"/>
      <c r="AC14" s="613"/>
      <c r="AD14" s="225"/>
    </row>
    <row r="15" spans="1:30" ht="15">
      <c r="A15" s="640"/>
      <c r="B15" s="653"/>
      <c r="C15" s="615" t="s">
        <v>1187</v>
      </c>
      <c r="D15" s="652"/>
      <c r="E15" s="652"/>
      <c r="F15" s="635">
        <f t="shared" si="0"/>
        <v>2.65</v>
      </c>
      <c r="G15" s="617">
        <f t="shared" si="1"/>
        <v>822240</v>
      </c>
      <c r="H15" s="650">
        <f t="shared" si="2"/>
        <v>2.6</v>
      </c>
      <c r="I15" s="617">
        <f t="shared" si="3"/>
        <v>-205560</v>
      </c>
      <c r="J15" s="635"/>
      <c r="K15" s="635"/>
      <c r="L15" s="637">
        <f>SUM(L13:L14)</f>
        <v>5803497</v>
      </c>
      <c r="M15" s="644">
        <f>SUM(M13:M14)</f>
        <v>57993977781.672</v>
      </c>
      <c r="N15" s="636" t="e">
        <f>SUM(N13:N14)</f>
        <v>#DIV/0!</v>
      </c>
      <c r="O15" s="644">
        <v>21959690</v>
      </c>
      <c r="P15" s="672">
        <f t="shared" si="11"/>
        <v>1403690</v>
      </c>
      <c r="Q15" s="645">
        <v>20556000</v>
      </c>
      <c r="R15" s="651">
        <f t="shared" si="4"/>
        <v>6.3921212002537375</v>
      </c>
      <c r="S15" s="654">
        <f t="shared" si="5"/>
        <v>2640.93</v>
      </c>
      <c r="T15" s="655"/>
      <c r="U15" s="622">
        <f t="shared" si="6"/>
        <v>9992.936634872387</v>
      </c>
      <c r="V15" s="633">
        <v>54340586</v>
      </c>
      <c r="W15" s="624">
        <f t="shared" si="7"/>
        <v>9.363</v>
      </c>
      <c r="X15" s="622">
        <f t="shared" si="8"/>
        <v>2.61</v>
      </c>
      <c r="Y15" s="656">
        <f t="shared" si="9"/>
        <v>53651160</v>
      </c>
      <c r="Z15" s="657">
        <f t="shared" si="10"/>
        <v>-689426</v>
      </c>
      <c r="AA15" s="634">
        <f t="shared" si="12"/>
        <v>90.817576509512</v>
      </c>
      <c r="AB15" s="613">
        <v>31</v>
      </c>
      <c r="AC15" s="613">
        <v>88026160</v>
      </c>
      <c r="AD15" s="225"/>
    </row>
    <row r="16" spans="1:30" ht="15">
      <c r="A16" s="1299">
        <v>5</v>
      </c>
      <c r="B16" s="1303" t="s">
        <v>1855</v>
      </c>
      <c r="C16" s="615" t="s">
        <v>1189</v>
      </c>
      <c r="D16" s="652">
        <v>9973.264</v>
      </c>
      <c r="E16" s="652">
        <v>9975.206</v>
      </c>
      <c r="F16" s="635" t="e">
        <f t="shared" si="0"/>
        <v>#DIV/0!</v>
      </c>
      <c r="G16" s="617" t="e">
        <f t="shared" si="1"/>
        <v>#DIV/0!</v>
      </c>
      <c r="H16" s="650" t="e">
        <f t="shared" si="2"/>
        <v>#DIV/0!</v>
      </c>
      <c r="I16" s="617" t="e">
        <f t="shared" si="3"/>
        <v>#DIV/0!</v>
      </c>
      <c r="J16" s="635">
        <v>2759752</v>
      </c>
      <c r="K16" s="636">
        <v>114690</v>
      </c>
      <c r="L16" s="637">
        <f t="shared" si="13"/>
        <v>2874442</v>
      </c>
      <c r="M16" s="636">
        <f>D16*J16+E16*K16</f>
        <v>28667791646.667995</v>
      </c>
      <c r="N16" s="636" t="e">
        <f>G16*K16+H16*L16</f>
        <v>#DIV/0!</v>
      </c>
      <c r="O16" s="664"/>
      <c r="P16" s="672">
        <f t="shared" si="11"/>
        <v>0</v>
      </c>
      <c r="Q16" s="700"/>
      <c r="R16" s="651" t="e">
        <f t="shared" si="4"/>
        <v>#DIV/0!</v>
      </c>
      <c r="S16" s="651" t="e">
        <f t="shared" si="5"/>
        <v>#DIV/0!</v>
      </c>
      <c r="T16" s="1306"/>
      <c r="U16" s="622">
        <f t="shared" si="6"/>
        <v>9973.341485640689</v>
      </c>
      <c r="V16" s="613"/>
      <c r="W16" s="624">
        <f t="shared" si="7"/>
        <v>0</v>
      </c>
      <c r="X16" s="622">
        <f t="shared" si="8"/>
        <v>0</v>
      </c>
      <c r="Y16" s="656">
        <f t="shared" si="9"/>
        <v>0</v>
      </c>
      <c r="Z16" s="613">
        <f t="shared" si="10"/>
        <v>0</v>
      </c>
      <c r="AA16" s="634" t="e">
        <f t="shared" si="12"/>
        <v>#DIV/0!</v>
      </c>
      <c r="AB16" s="613"/>
      <c r="AC16" s="613"/>
      <c r="AD16" s="225">
        <v>24858333.33</v>
      </c>
    </row>
    <row r="17" spans="1:30" ht="15">
      <c r="A17" s="1302"/>
      <c r="B17" s="1304"/>
      <c r="C17" s="615" t="s">
        <v>1188</v>
      </c>
      <c r="D17" s="635">
        <v>9983.262</v>
      </c>
      <c r="E17" s="635">
        <v>9982.255</v>
      </c>
      <c r="F17" s="635" t="e">
        <f t="shared" si="0"/>
        <v>#DIV/0!</v>
      </c>
      <c r="G17" s="617" t="e">
        <f t="shared" si="1"/>
        <v>#DIV/0!</v>
      </c>
      <c r="H17" s="650" t="e">
        <f t="shared" si="2"/>
        <v>#DIV/0!</v>
      </c>
      <c r="I17" s="617" t="e">
        <f t="shared" si="3"/>
        <v>#DIV/0!</v>
      </c>
      <c r="J17" s="635">
        <v>2944000</v>
      </c>
      <c r="K17" s="635">
        <v>112399</v>
      </c>
      <c r="L17" s="637">
        <f>SUM(J17+K17)</f>
        <v>3056399</v>
      </c>
      <c r="M17" s="636">
        <f>D17*J17+E17*K17</f>
        <v>30512718807.745</v>
      </c>
      <c r="N17" s="636" t="e">
        <f>H17*L17</f>
        <v>#DIV/0!</v>
      </c>
      <c r="O17" s="698"/>
      <c r="P17" s="672">
        <f t="shared" si="11"/>
        <v>0</v>
      </c>
      <c r="Q17" s="700"/>
      <c r="R17" s="651" t="e">
        <f t="shared" si="4"/>
        <v>#DIV/0!</v>
      </c>
      <c r="S17" s="651" t="e">
        <f t="shared" si="5"/>
        <v>#DIV/0!</v>
      </c>
      <c r="T17" s="1307"/>
      <c r="U17" s="622">
        <f t="shared" si="6"/>
        <v>9983.224967599126</v>
      </c>
      <c r="V17" s="613"/>
      <c r="W17" s="624">
        <f t="shared" si="7"/>
        <v>0</v>
      </c>
      <c r="X17" s="622">
        <f t="shared" si="8"/>
        <v>0</v>
      </c>
      <c r="Y17" s="656">
        <f t="shared" si="9"/>
        <v>0</v>
      </c>
      <c r="Z17" s="613">
        <f t="shared" si="10"/>
        <v>0</v>
      </c>
      <c r="AA17" s="634" t="e">
        <f t="shared" si="12"/>
        <v>#DIV/0!</v>
      </c>
      <c r="AB17" s="613"/>
      <c r="AC17" s="613"/>
      <c r="AD17" s="225"/>
    </row>
    <row r="18" spans="1:30" ht="15">
      <c r="A18" s="640"/>
      <c r="B18" s="641"/>
      <c r="C18" s="615" t="s">
        <v>1187</v>
      </c>
      <c r="D18" s="635"/>
      <c r="E18" s="635"/>
      <c r="F18" s="635">
        <f t="shared" si="0"/>
        <v>2.68</v>
      </c>
      <c r="G18" s="617">
        <f t="shared" si="1"/>
        <v>819840</v>
      </c>
      <c r="H18" s="650">
        <f t="shared" si="2"/>
        <v>2.7</v>
      </c>
      <c r="I18" s="617">
        <f t="shared" si="3"/>
        <v>1229760</v>
      </c>
      <c r="J18" s="642"/>
      <c r="K18" s="635"/>
      <c r="L18" s="637">
        <f>SUM(L16:L17)</f>
        <v>5930841</v>
      </c>
      <c r="M18" s="658">
        <f>SUM(M16:M17)</f>
        <v>59180510454.412994</v>
      </c>
      <c r="N18" s="659" t="e">
        <f>SUM(N16:N17)</f>
        <v>#DIV/0!</v>
      </c>
      <c r="O18" s="658">
        <v>21906750</v>
      </c>
      <c r="P18" s="672">
        <f t="shared" si="11"/>
        <v>1410750</v>
      </c>
      <c r="Q18" s="645">
        <v>20496000</v>
      </c>
      <c r="R18" s="651">
        <f t="shared" si="4"/>
        <v>6.439795953302064</v>
      </c>
      <c r="S18" s="654">
        <f t="shared" si="5"/>
        <v>2701.47</v>
      </c>
      <c r="T18" s="649"/>
      <c r="U18" s="622">
        <f t="shared" si="6"/>
        <v>9978.43483823171</v>
      </c>
      <c r="V18" s="633">
        <v>56111065</v>
      </c>
      <c r="W18" s="624">
        <f t="shared" si="7"/>
        <v>9.461</v>
      </c>
      <c r="X18" s="622">
        <f t="shared" si="8"/>
        <v>2.64</v>
      </c>
      <c r="Y18" s="656">
        <f t="shared" si="9"/>
        <v>54109440</v>
      </c>
      <c r="Z18" s="657">
        <f t="shared" si="10"/>
        <v>-2001625</v>
      </c>
      <c r="AA18" s="634">
        <f t="shared" si="12"/>
        <v>90.598635235732</v>
      </c>
      <c r="AB18" s="613">
        <v>31</v>
      </c>
      <c r="AC18" s="613">
        <v>88474440</v>
      </c>
      <c r="AD18" s="225"/>
    </row>
    <row r="19" spans="1:30" ht="15">
      <c r="A19" s="1299">
        <v>6</v>
      </c>
      <c r="B19" s="1303" t="s">
        <v>1856</v>
      </c>
      <c r="C19" s="615" t="s">
        <v>1189</v>
      </c>
      <c r="D19" s="647">
        <v>10050.455</v>
      </c>
      <c r="E19" s="647">
        <v>10042.431</v>
      </c>
      <c r="F19" s="635" t="e">
        <f t="shared" si="0"/>
        <v>#DIV/0!</v>
      </c>
      <c r="G19" s="617" t="e">
        <f t="shared" si="1"/>
        <v>#DIV/0!</v>
      </c>
      <c r="H19" s="650" t="e">
        <f t="shared" si="2"/>
        <v>#DIV/0!</v>
      </c>
      <c r="I19" s="617" t="e">
        <f t="shared" si="3"/>
        <v>#DIV/0!</v>
      </c>
      <c r="J19" s="648">
        <v>2707333</v>
      </c>
      <c r="K19" s="635">
        <v>28603</v>
      </c>
      <c r="L19" s="637">
        <f>J19+K19</f>
        <v>2735936</v>
      </c>
      <c r="M19" s="636">
        <f>D19*J19+E19*K19</f>
        <v>27497172140.408</v>
      </c>
      <c r="N19" s="636"/>
      <c r="O19" s="664"/>
      <c r="P19" s="672">
        <f t="shared" si="11"/>
        <v>0</v>
      </c>
      <c r="Q19" s="645"/>
      <c r="R19" s="651" t="e">
        <f t="shared" si="4"/>
        <v>#DIV/0!</v>
      </c>
      <c r="S19" s="654" t="e">
        <f t="shared" si="5"/>
        <v>#DIV/0!</v>
      </c>
      <c r="T19" s="1305"/>
      <c r="U19" s="622">
        <f t="shared" si="6"/>
        <v>10050.37111263129</v>
      </c>
      <c r="V19" s="633"/>
      <c r="W19" s="624">
        <f t="shared" si="7"/>
        <v>0</v>
      </c>
      <c r="X19" s="622">
        <f t="shared" si="8"/>
        <v>0</v>
      </c>
      <c r="Y19" s="656">
        <f t="shared" si="9"/>
        <v>0</v>
      </c>
      <c r="Z19" s="657">
        <f t="shared" si="10"/>
        <v>0</v>
      </c>
      <c r="AA19" s="634" t="e">
        <f t="shared" si="12"/>
        <v>#DIV/0!</v>
      </c>
      <c r="AB19" s="613"/>
      <c r="AC19" s="613"/>
      <c r="AD19" s="225">
        <v>24848333.33</v>
      </c>
    </row>
    <row r="20" spans="1:30" ht="15">
      <c r="A20" s="1302"/>
      <c r="B20" s="1304"/>
      <c r="C20" s="615" t="s">
        <v>1188</v>
      </c>
      <c r="D20" s="648">
        <v>10075.21</v>
      </c>
      <c r="E20" s="648">
        <v>10074.676</v>
      </c>
      <c r="F20" s="635" t="e">
        <f t="shared" si="0"/>
        <v>#DIV/0!</v>
      </c>
      <c r="G20" s="617" t="e">
        <f t="shared" si="1"/>
        <v>#DIV/0!</v>
      </c>
      <c r="H20" s="650" t="e">
        <f t="shared" si="2"/>
        <v>#DIV/0!</v>
      </c>
      <c r="I20" s="617" t="e">
        <f t="shared" si="3"/>
        <v>#DIV/0!</v>
      </c>
      <c r="J20" s="635">
        <v>2703444</v>
      </c>
      <c r="K20" s="635">
        <v>54476</v>
      </c>
      <c r="L20" s="637">
        <f>J20+K20</f>
        <v>2757920</v>
      </c>
      <c r="M20" s="636">
        <f>D20*J20+E20*K20</f>
        <v>27786594073.016</v>
      </c>
      <c r="N20" s="636"/>
      <c r="O20" s="698"/>
      <c r="P20" s="672">
        <f t="shared" si="11"/>
        <v>0</v>
      </c>
      <c r="Q20" s="645"/>
      <c r="R20" s="651" t="e">
        <f t="shared" si="4"/>
        <v>#DIV/0!</v>
      </c>
      <c r="S20" s="654" t="e">
        <f t="shared" si="5"/>
        <v>#DIV/0!</v>
      </c>
      <c r="T20" s="1305"/>
      <c r="U20" s="622">
        <f t="shared" si="6"/>
        <v>10075.19945212914</v>
      </c>
      <c r="V20" s="633"/>
      <c r="W20" s="624">
        <f t="shared" si="7"/>
        <v>0</v>
      </c>
      <c r="X20" s="622">
        <f t="shared" si="8"/>
        <v>0</v>
      </c>
      <c r="Y20" s="656">
        <f t="shared" si="9"/>
        <v>0</v>
      </c>
      <c r="Z20" s="657">
        <f t="shared" si="10"/>
        <v>0</v>
      </c>
      <c r="AA20" s="634" t="e">
        <f t="shared" si="12"/>
        <v>#DIV/0!</v>
      </c>
      <c r="AB20" s="613"/>
      <c r="AC20" s="613"/>
      <c r="AD20" s="225"/>
    </row>
    <row r="21" spans="1:30" ht="15">
      <c r="A21" s="640"/>
      <c r="B21" s="641"/>
      <c r="C21" s="615" t="s">
        <v>1187</v>
      </c>
      <c r="D21" s="648"/>
      <c r="E21" s="648"/>
      <c r="F21" s="635">
        <f t="shared" si="0"/>
        <v>2.72</v>
      </c>
      <c r="G21" s="617">
        <f t="shared" si="1"/>
        <v>942823.0200000107</v>
      </c>
      <c r="H21" s="650">
        <f t="shared" si="2"/>
        <v>2.76</v>
      </c>
      <c r="I21" s="617">
        <f t="shared" si="3"/>
        <v>1697081.435999997</v>
      </c>
      <c r="J21" s="635"/>
      <c r="K21" s="635"/>
      <c r="L21" s="643">
        <f>L19+L20</f>
        <v>5493856</v>
      </c>
      <c r="M21" s="643">
        <f>M19+M20</f>
        <v>55283766213.423996</v>
      </c>
      <c r="N21" s="636"/>
      <c r="O21" s="699">
        <v>20194450</v>
      </c>
      <c r="P21" s="672">
        <f t="shared" si="11"/>
        <v>1337989.6000000015</v>
      </c>
      <c r="Q21" s="645">
        <v>18856460.4</v>
      </c>
      <c r="R21" s="651">
        <f t="shared" si="4"/>
        <v>6.6255312722059845</v>
      </c>
      <c r="S21" s="654">
        <f t="shared" si="5"/>
        <v>2737.57</v>
      </c>
      <c r="T21" s="660"/>
      <c r="U21" s="622">
        <f t="shared" si="6"/>
        <v>10062.834958437934</v>
      </c>
      <c r="V21" s="633">
        <v>53005199</v>
      </c>
      <c r="W21" s="624">
        <f t="shared" si="7"/>
        <v>9.648</v>
      </c>
      <c r="X21" s="622">
        <f t="shared" si="8"/>
        <v>2.67</v>
      </c>
      <c r="Y21" s="656">
        <f t="shared" si="9"/>
        <v>50346749.26799999</v>
      </c>
      <c r="Z21" s="701">
        <f t="shared" si="10"/>
        <v>-2658449.732000008</v>
      </c>
      <c r="AA21" s="634">
        <f t="shared" si="12"/>
        <v>86.30106837606837</v>
      </c>
      <c r="AB21" s="613">
        <v>30</v>
      </c>
      <c r="AC21" s="613">
        <v>84721750</v>
      </c>
      <c r="AD21" s="225"/>
    </row>
    <row r="22" spans="1:30" ht="15">
      <c r="A22" s="661">
        <v>7</v>
      </c>
      <c r="B22" s="662" t="s">
        <v>1857</v>
      </c>
      <c r="C22" s="615" t="s">
        <v>1189</v>
      </c>
      <c r="D22" s="153">
        <v>10041.286</v>
      </c>
      <c r="E22" s="153">
        <v>10037.794</v>
      </c>
      <c r="F22" s="635" t="e">
        <f t="shared" si="0"/>
        <v>#DIV/0!</v>
      </c>
      <c r="G22" s="617" t="e">
        <f t="shared" si="1"/>
        <v>#DIV/0!</v>
      </c>
      <c r="H22" s="650" t="e">
        <f t="shared" si="2"/>
        <v>#DIV/0!</v>
      </c>
      <c r="I22" s="617" t="e">
        <f t="shared" si="3"/>
        <v>#DIV/0!</v>
      </c>
      <c r="J22" s="153">
        <v>2727685</v>
      </c>
      <c r="K22" s="153">
        <v>63554</v>
      </c>
      <c r="L22" s="643">
        <f>J22+K22</f>
        <v>2791239</v>
      </c>
      <c r="M22" s="643">
        <f>D22*J22+E22*K22</f>
        <v>28027407162.786</v>
      </c>
      <c r="N22" s="663"/>
      <c r="O22" s="635"/>
      <c r="P22" s="672">
        <f t="shared" si="11"/>
        <v>0</v>
      </c>
      <c r="Q22" s="635"/>
      <c r="R22" s="651" t="e">
        <f t="shared" si="4"/>
        <v>#DIV/0!</v>
      </c>
      <c r="S22" s="654" t="e">
        <f t="shared" si="5"/>
        <v>#DIV/0!</v>
      </c>
      <c r="T22" s="660"/>
      <c r="U22" s="622">
        <f t="shared" si="6"/>
        <v>10041.206490302693</v>
      </c>
      <c r="V22" s="633"/>
      <c r="W22" s="624">
        <f t="shared" si="7"/>
        <v>0</v>
      </c>
      <c r="X22" s="622">
        <f t="shared" si="8"/>
        <v>0</v>
      </c>
      <c r="Y22" s="656">
        <f t="shared" si="9"/>
        <v>0</v>
      </c>
      <c r="Z22" s="657">
        <f t="shared" si="10"/>
        <v>0</v>
      </c>
      <c r="AA22" s="634" t="e">
        <f t="shared" si="12"/>
        <v>#DIV/0!</v>
      </c>
      <c r="AB22" s="613"/>
      <c r="AC22" s="613"/>
      <c r="AD22" s="225">
        <v>24858333.34</v>
      </c>
    </row>
    <row r="23" spans="1:30" ht="15">
      <c r="A23" s="1296"/>
      <c r="B23" s="1297"/>
      <c r="C23" s="615" t="s">
        <v>1188</v>
      </c>
      <c r="D23" s="153">
        <v>10066.298</v>
      </c>
      <c r="E23" s="153">
        <v>10066.839</v>
      </c>
      <c r="F23" s="635" t="e">
        <f t="shared" si="0"/>
        <v>#DIV/0!</v>
      </c>
      <c r="G23" s="617" t="e">
        <f t="shared" si="1"/>
        <v>#DIV/0!</v>
      </c>
      <c r="H23" s="650" t="e">
        <f t="shared" si="2"/>
        <v>#DIV/0!</v>
      </c>
      <c r="I23" s="617" t="e">
        <f t="shared" si="3"/>
        <v>#DIV/0!</v>
      </c>
      <c r="J23" s="153">
        <v>2944000</v>
      </c>
      <c r="K23" s="153">
        <v>122596</v>
      </c>
      <c r="L23" s="643">
        <f>J23+K23</f>
        <v>3066596</v>
      </c>
      <c r="M23" s="643">
        <f>D23*J23+E23*K23</f>
        <v>30869335506.044003</v>
      </c>
      <c r="N23" s="636"/>
      <c r="O23" s="664"/>
      <c r="P23" s="672">
        <f t="shared" si="11"/>
        <v>0</v>
      </c>
      <c r="Q23" s="664"/>
      <c r="R23" s="651" t="e">
        <f t="shared" si="4"/>
        <v>#DIV/0!</v>
      </c>
      <c r="S23" s="654" t="e">
        <f t="shared" si="5"/>
        <v>#DIV/0!</v>
      </c>
      <c r="T23" s="1305"/>
      <c r="U23" s="622">
        <f t="shared" si="6"/>
        <v>10066.319628031864</v>
      </c>
      <c r="V23" s="633"/>
      <c r="W23" s="624">
        <f t="shared" si="7"/>
        <v>0</v>
      </c>
      <c r="X23" s="622">
        <f t="shared" si="8"/>
        <v>0</v>
      </c>
      <c r="Y23" s="656">
        <f t="shared" si="9"/>
        <v>0</v>
      </c>
      <c r="Z23" s="657">
        <f t="shared" si="10"/>
        <v>0</v>
      </c>
      <c r="AA23" s="634" t="e">
        <f t="shared" si="12"/>
        <v>#DIV/0!</v>
      </c>
      <c r="AB23" s="613"/>
      <c r="AC23" s="613"/>
      <c r="AD23" s="225"/>
    </row>
    <row r="24" spans="1:30" ht="15">
      <c r="A24" s="1296"/>
      <c r="B24" s="1297"/>
      <c r="C24" s="615" t="s">
        <v>1187</v>
      </c>
      <c r="D24" s="635"/>
      <c r="E24" s="635"/>
      <c r="F24" s="635">
        <f t="shared" si="0"/>
        <v>3.04</v>
      </c>
      <c r="G24" s="617">
        <f t="shared" si="1"/>
        <v>621600.0000000075</v>
      </c>
      <c r="H24" s="650">
        <f t="shared" si="2"/>
        <v>3.03</v>
      </c>
      <c r="I24" s="617">
        <f t="shared" si="3"/>
        <v>414400</v>
      </c>
      <c r="J24" s="635"/>
      <c r="K24" s="635"/>
      <c r="L24" s="643">
        <f aca="true" t="shared" si="14" ref="L24:M27">L22+L23</f>
        <v>5857835</v>
      </c>
      <c r="M24" s="643">
        <f t="shared" si="14"/>
        <v>58896742668.83</v>
      </c>
      <c r="N24" s="636"/>
      <c r="O24" s="665">
        <v>22070120</v>
      </c>
      <c r="P24" s="672">
        <f t="shared" si="11"/>
        <v>1350120</v>
      </c>
      <c r="Q24" s="665">
        <v>20720000</v>
      </c>
      <c r="R24" s="651">
        <f t="shared" si="4"/>
        <v>6.117411232924877</v>
      </c>
      <c r="S24" s="654">
        <f t="shared" si="5"/>
        <v>2668.62</v>
      </c>
      <c r="T24" s="1305"/>
      <c r="U24" s="622">
        <f t="shared" si="6"/>
        <v>10054.353300977238</v>
      </c>
      <c r="V24" s="633">
        <v>63582843</v>
      </c>
      <c r="W24" s="624">
        <f t="shared" si="7"/>
        <v>10.854</v>
      </c>
      <c r="X24" s="622">
        <f t="shared" si="8"/>
        <v>3.01</v>
      </c>
      <c r="Y24" s="656">
        <f t="shared" si="9"/>
        <v>62367199.99999999</v>
      </c>
      <c r="Z24" s="657">
        <f t="shared" si="10"/>
        <v>-1215643.0000000075</v>
      </c>
      <c r="AA24" s="634">
        <f t="shared" si="12"/>
        <v>91.27427626137303</v>
      </c>
      <c r="AB24" s="613">
        <v>31</v>
      </c>
      <c r="AC24" s="613">
        <v>87018333</v>
      </c>
      <c r="AD24" s="225"/>
    </row>
    <row r="25" spans="1:30" ht="15">
      <c r="A25" s="595">
        <v>8</v>
      </c>
      <c r="B25" s="666" t="s">
        <v>1858</v>
      </c>
      <c r="C25" s="615" t="s">
        <v>1189</v>
      </c>
      <c r="D25" s="635">
        <v>10062.201</v>
      </c>
      <c r="E25" s="635">
        <v>10068.056</v>
      </c>
      <c r="F25" s="635" t="e">
        <f t="shared" si="0"/>
        <v>#DIV/0!</v>
      </c>
      <c r="G25" s="617" t="e">
        <f t="shared" si="1"/>
        <v>#DIV/0!</v>
      </c>
      <c r="H25" s="650" t="e">
        <f t="shared" si="2"/>
        <v>#DIV/0!</v>
      </c>
      <c r="I25" s="617" t="e">
        <f t="shared" si="3"/>
        <v>#DIV/0!</v>
      </c>
      <c r="J25" s="635">
        <v>2603050</v>
      </c>
      <c r="K25" s="635">
        <v>75901</v>
      </c>
      <c r="L25" s="643">
        <f>J25+K25</f>
        <v>2678951</v>
      </c>
      <c r="M25" s="643">
        <f>D25*J25+E25*K25</f>
        <v>26956587831.506</v>
      </c>
      <c r="N25" s="663"/>
      <c r="O25" s="667"/>
      <c r="P25" s="672">
        <f>O25-Q25</f>
        <v>0</v>
      </c>
      <c r="Q25" s="667"/>
      <c r="R25" s="651" t="e">
        <f t="shared" si="4"/>
        <v>#DIV/0!</v>
      </c>
      <c r="S25" s="654" t="e">
        <f t="shared" si="5"/>
        <v>#DIV/0!</v>
      </c>
      <c r="T25" s="660"/>
      <c r="U25" s="622">
        <f t="shared" si="6"/>
        <v>10062.366885958721</v>
      </c>
      <c r="V25" s="633"/>
      <c r="W25" s="624">
        <f t="shared" si="7"/>
        <v>0</v>
      </c>
      <c r="X25" s="622">
        <f t="shared" si="8"/>
        <v>0</v>
      </c>
      <c r="Y25" s="656">
        <f t="shared" si="9"/>
        <v>0</v>
      </c>
      <c r="Z25" s="657">
        <f t="shared" si="10"/>
        <v>0</v>
      </c>
      <c r="AA25" s="634" t="e">
        <f t="shared" si="12"/>
        <v>#DIV/0!</v>
      </c>
      <c r="AB25" s="613">
        <v>0</v>
      </c>
      <c r="AC25" s="613"/>
      <c r="AD25" s="225">
        <v>24858333.34</v>
      </c>
    </row>
    <row r="26" spans="1:30" ht="15">
      <c r="A26" s="595"/>
      <c r="B26" s="1300"/>
      <c r="C26" s="615" t="s">
        <v>1188</v>
      </c>
      <c r="D26" s="617">
        <v>10060.962</v>
      </c>
      <c r="E26" s="617">
        <v>10080.59</v>
      </c>
      <c r="F26" s="635" t="e">
        <f t="shared" si="0"/>
        <v>#DIV/0!</v>
      </c>
      <c r="G26" s="617" t="e">
        <f t="shared" si="1"/>
        <v>#DIV/0!</v>
      </c>
      <c r="H26" s="650" t="e">
        <f t="shared" si="2"/>
        <v>#DIV/0!</v>
      </c>
      <c r="I26" s="617" t="e">
        <f t="shared" si="3"/>
        <v>#DIV/0!</v>
      </c>
      <c r="J26" s="617">
        <v>2599393</v>
      </c>
      <c r="K26" s="617">
        <v>24714</v>
      </c>
      <c r="L26" s="643">
        <f>J26+K26</f>
        <v>2624107</v>
      </c>
      <c r="M26" s="643">
        <f>D26*J26+E26*K26</f>
        <v>26401525897.325996</v>
      </c>
      <c r="N26" s="628"/>
      <c r="O26" s="668"/>
      <c r="P26" s="672">
        <f t="shared" si="11"/>
        <v>0</v>
      </c>
      <c r="Q26" s="668"/>
      <c r="R26" s="651" t="e">
        <f t="shared" si="4"/>
        <v>#DIV/0!</v>
      </c>
      <c r="S26" s="654" t="e">
        <f t="shared" si="5"/>
        <v>#DIV/0!</v>
      </c>
      <c r="T26" s="669"/>
      <c r="U26" s="622">
        <f t="shared" si="6"/>
        <v>10061.146857702828</v>
      </c>
      <c r="V26" s="633"/>
      <c r="W26" s="624">
        <f t="shared" si="7"/>
        <v>0</v>
      </c>
      <c r="X26" s="622">
        <f t="shared" si="8"/>
        <v>0</v>
      </c>
      <c r="Y26" s="656">
        <f t="shared" si="9"/>
        <v>0</v>
      </c>
      <c r="Z26" s="657">
        <f t="shared" si="10"/>
        <v>0</v>
      </c>
      <c r="AA26" s="634" t="e">
        <f t="shared" si="12"/>
        <v>#DIV/0!</v>
      </c>
      <c r="AB26" s="613">
        <v>0</v>
      </c>
      <c r="AC26" s="614"/>
      <c r="AD26" s="225"/>
    </row>
    <row r="27" spans="1:30" ht="15">
      <c r="A27" s="595"/>
      <c r="B27" s="1301"/>
      <c r="C27" s="615" t="s">
        <v>1187</v>
      </c>
      <c r="D27" s="616"/>
      <c r="E27" s="616"/>
      <c r="F27" s="635">
        <f t="shared" si="0"/>
        <v>3.11</v>
      </c>
      <c r="G27" s="617">
        <f t="shared" si="1"/>
        <v>875080.6799999997</v>
      </c>
      <c r="H27" s="650">
        <f t="shared" si="2"/>
        <v>3.29</v>
      </c>
      <c r="I27" s="617">
        <f t="shared" si="3"/>
        <v>4025371.1279999986</v>
      </c>
      <c r="J27" s="617"/>
      <c r="K27" s="617"/>
      <c r="L27" s="643">
        <f t="shared" si="14"/>
        <v>5303058</v>
      </c>
      <c r="M27" s="643">
        <f t="shared" si="14"/>
        <v>53358113728.832</v>
      </c>
      <c r="N27" s="628"/>
      <c r="O27" s="628">
        <v>18735820</v>
      </c>
      <c r="P27" s="672">
        <f t="shared" si="11"/>
        <v>1234206.3999999985</v>
      </c>
      <c r="Q27" s="628">
        <v>17501613.6</v>
      </c>
      <c r="R27" s="651">
        <f t="shared" si="4"/>
        <v>6.5874159764557865</v>
      </c>
      <c r="S27" s="654">
        <f t="shared" si="5"/>
        <v>2847.92</v>
      </c>
      <c r="T27" s="669"/>
      <c r="U27" s="622">
        <f t="shared" si="6"/>
        <v>10061.763180570908</v>
      </c>
      <c r="V27" s="633">
        <v>58627273</v>
      </c>
      <c r="W27" s="624">
        <f t="shared" si="7"/>
        <v>11.055</v>
      </c>
      <c r="X27" s="622">
        <f t="shared" si="8"/>
        <v>3.06</v>
      </c>
      <c r="Y27" s="656">
        <f t="shared" si="9"/>
        <v>53554937.616000004</v>
      </c>
      <c r="Z27" s="701">
        <f t="shared" si="10"/>
        <v>-5072335.383999996</v>
      </c>
      <c r="AA27" s="634">
        <f t="shared" si="12"/>
        <v>80.06760683760683</v>
      </c>
      <c r="AB27" s="613">
        <v>30</v>
      </c>
      <c r="AC27" s="614">
        <v>78413271</v>
      </c>
      <c r="AD27" s="225"/>
    </row>
    <row r="28" spans="1:30" ht="15">
      <c r="A28" s="1296">
        <v>9</v>
      </c>
      <c r="B28" s="1297" t="s">
        <v>1859</v>
      </c>
      <c r="C28" s="615" t="s">
        <v>1189</v>
      </c>
      <c r="D28" s="617">
        <v>10061.135</v>
      </c>
      <c r="E28" s="617">
        <v>10059.111</v>
      </c>
      <c r="F28" s="635" t="e">
        <f t="shared" si="0"/>
        <v>#DIV/0!</v>
      </c>
      <c r="G28" s="617" t="e">
        <f t="shared" si="1"/>
        <v>#DIV/0!</v>
      </c>
      <c r="H28" s="650" t="e">
        <f t="shared" si="2"/>
        <v>#DIV/0!</v>
      </c>
      <c r="I28" s="617" t="e">
        <f t="shared" si="3"/>
        <v>#DIV/0!</v>
      </c>
      <c r="J28" s="616">
        <v>2708666</v>
      </c>
      <c r="K28" s="616">
        <v>73255</v>
      </c>
      <c r="L28" s="617">
        <f>J28+K28</f>
        <v>2781921</v>
      </c>
      <c r="M28" s="643">
        <f aca="true" t="shared" si="15" ref="M28:M38">D28*J28+E28*K28</f>
        <v>27989134472.215</v>
      </c>
      <c r="N28" s="618"/>
      <c r="O28" s="619"/>
      <c r="P28" s="672">
        <f t="shared" si="11"/>
        <v>0</v>
      </c>
      <c r="Q28" s="619"/>
      <c r="R28" s="651" t="e">
        <f t="shared" si="4"/>
        <v>#DIV/0!</v>
      </c>
      <c r="S28" s="654" t="e">
        <f t="shared" si="5"/>
        <v>#DIV/0!</v>
      </c>
      <c r="T28" s="1298"/>
      <c r="U28" s="622">
        <f t="shared" si="6"/>
        <v>10061.081702972515</v>
      </c>
      <c r="V28" s="633"/>
      <c r="W28" s="624">
        <f t="shared" si="7"/>
        <v>0</v>
      </c>
      <c r="X28" s="622">
        <f t="shared" si="8"/>
        <v>0</v>
      </c>
      <c r="Y28" s="656">
        <f t="shared" si="9"/>
        <v>0</v>
      </c>
      <c r="Z28" s="657">
        <f t="shared" si="10"/>
        <v>0</v>
      </c>
      <c r="AA28" s="634" t="e">
        <f t="shared" si="12"/>
        <v>#DIV/0!</v>
      </c>
      <c r="AB28" s="613">
        <v>0</v>
      </c>
      <c r="AC28" s="614"/>
      <c r="AD28" s="225">
        <v>2485333.32</v>
      </c>
    </row>
    <row r="29" spans="1:30" ht="15">
      <c r="A29" s="1296"/>
      <c r="B29" s="1297"/>
      <c r="C29" s="615" t="s">
        <v>1188</v>
      </c>
      <c r="D29" s="616">
        <v>10066.265</v>
      </c>
      <c r="E29" s="616">
        <v>10075.305</v>
      </c>
      <c r="F29" s="635" t="e">
        <f t="shared" si="0"/>
        <v>#DIV/0!</v>
      </c>
      <c r="G29" s="617" t="e">
        <f t="shared" si="1"/>
        <v>#DIV/0!</v>
      </c>
      <c r="H29" s="650" t="e">
        <f t="shared" si="2"/>
        <v>#DIV/0!</v>
      </c>
      <c r="I29" s="617" t="e">
        <f t="shared" si="3"/>
        <v>#DIV/0!</v>
      </c>
      <c r="J29" s="616">
        <v>1132726</v>
      </c>
      <c r="K29" s="616">
        <v>24762</v>
      </c>
      <c r="L29" s="617">
        <f aca="true" t="shared" si="16" ref="L29:L38">J29+K29</f>
        <v>1157488</v>
      </c>
      <c r="M29" s="643">
        <f t="shared" si="15"/>
        <v>11651804790.8</v>
      </c>
      <c r="N29" s="618"/>
      <c r="O29" s="670"/>
      <c r="P29" s="672">
        <f t="shared" si="11"/>
        <v>0</v>
      </c>
      <c r="Q29" s="670"/>
      <c r="R29" s="651" t="e">
        <f t="shared" si="4"/>
        <v>#DIV/0!</v>
      </c>
      <c r="S29" s="654" t="e">
        <f t="shared" si="5"/>
        <v>#DIV/0!</v>
      </c>
      <c r="T29" s="1298"/>
      <c r="U29" s="622">
        <f t="shared" si="6"/>
        <v>10066.458391620474</v>
      </c>
      <c r="V29" s="633"/>
      <c r="W29" s="624">
        <f t="shared" si="7"/>
        <v>0</v>
      </c>
      <c r="X29" s="622">
        <f t="shared" si="8"/>
        <v>0</v>
      </c>
      <c r="Y29" s="656">
        <f t="shared" si="9"/>
        <v>0</v>
      </c>
      <c r="Z29" s="657">
        <f t="shared" si="10"/>
        <v>0</v>
      </c>
      <c r="AA29" s="634" t="e">
        <f t="shared" si="12"/>
        <v>#DIV/0!</v>
      </c>
      <c r="AB29" s="613">
        <v>0</v>
      </c>
      <c r="AC29" s="614"/>
      <c r="AD29" s="225"/>
    </row>
    <row r="30" spans="1:30" ht="15">
      <c r="A30" s="595"/>
      <c r="B30" s="666"/>
      <c r="C30" s="615" t="s">
        <v>1187</v>
      </c>
      <c r="D30" s="616"/>
      <c r="E30" s="616"/>
      <c r="F30" s="635">
        <f t="shared" si="0"/>
        <v>3.12</v>
      </c>
      <c r="G30" s="617">
        <f t="shared" si="1"/>
        <v>1733469.9199999943</v>
      </c>
      <c r="H30" s="650">
        <f t="shared" si="2"/>
        <v>3.07</v>
      </c>
      <c r="I30" s="617">
        <f t="shared" si="3"/>
        <v>1066750.7199999914</v>
      </c>
      <c r="J30" s="616"/>
      <c r="K30" s="616"/>
      <c r="L30" s="617">
        <f>L28+L29</f>
        <v>3939409</v>
      </c>
      <c r="M30" s="617">
        <f>M28+M29</f>
        <v>39640939263.015</v>
      </c>
      <c r="N30" s="628"/>
      <c r="O30" s="628">
        <v>14614070</v>
      </c>
      <c r="P30" s="672">
        <f t="shared" si="11"/>
        <v>1279686</v>
      </c>
      <c r="Q30" s="628">
        <v>13334384</v>
      </c>
      <c r="R30" s="651">
        <f t="shared" si="4"/>
        <v>8.756533942974134</v>
      </c>
      <c r="S30" s="654">
        <f t="shared" si="5"/>
        <v>2712.52</v>
      </c>
      <c r="T30" s="669"/>
      <c r="U30" s="622">
        <f t="shared" si="6"/>
        <v>10062.661496436394</v>
      </c>
      <c r="V30" s="633">
        <v>42596021</v>
      </c>
      <c r="W30" s="624">
        <f t="shared" si="7"/>
        <v>10.813</v>
      </c>
      <c r="X30" s="622">
        <f t="shared" si="8"/>
        <v>2.99</v>
      </c>
      <c r="Y30" s="656">
        <f t="shared" si="9"/>
        <v>39869808.160000004</v>
      </c>
      <c r="Z30" s="657">
        <f t="shared" si="10"/>
        <v>-2726212.839999996</v>
      </c>
      <c r="AA30" s="634">
        <f t="shared" si="12"/>
        <v>60.43866832092638</v>
      </c>
      <c r="AB30" s="613">
        <v>31</v>
      </c>
      <c r="AC30" s="614">
        <v>59765292</v>
      </c>
      <c r="AD30" s="225"/>
    </row>
    <row r="31" spans="1:30" ht="15">
      <c r="A31" s="1296">
        <v>10</v>
      </c>
      <c r="B31" s="1297" t="s">
        <v>1860</v>
      </c>
      <c r="C31" s="615" t="s">
        <v>1189</v>
      </c>
      <c r="D31" s="616">
        <v>0</v>
      </c>
      <c r="E31" s="616">
        <v>0</v>
      </c>
      <c r="F31" s="635" t="e">
        <f t="shared" si="0"/>
        <v>#DIV/0!</v>
      </c>
      <c r="G31" s="617" t="e">
        <f t="shared" si="1"/>
        <v>#DIV/0!</v>
      </c>
      <c r="H31" s="650" t="e">
        <f t="shared" si="2"/>
        <v>#DIV/0!</v>
      </c>
      <c r="I31" s="617" t="e">
        <f t="shared" si="3"/>
        <v>#DIV/0!</v>
      </c>
      <c r="J31" s="616"/>
      <c r="K31" s="616"/>
      <c r="L31" s="617">
        <f t="shared" si="16"/>
        <v>0</v>
      </c>
      <c r="M31" s="643">
        <f t="shared" si="15"/>
        <v>0</v>
      </c>
      <c r="N31" s="618"/>
      <c r="O31" s="619"/>
      <c r="P31" s="672">
        <f t="shared" si="11"/>
        <v>0</v>
      </c>
      <c r="Q31" s="619"/>
      <c r="R31" s="651" t="e">
        <f t="shared" si="4"/>
        <v>#DIV/0!</v>
      </c>
      <c r="S31" s="654" t="e">
        <f t="shared" si="5"/>
        <v>#DIV/0!</v>
      </c>
      <c r="T31" s="1298"/>
      <c r="U31" s="622" t="e">
        <f t="shared" si="6"/>
        <v>#DIV/0!</v>
      </c>
      <c r="V31" s="633"/>
      <c r="W31" s="624" t="e">
        <f t="shared" si="7"/>
        <v>#DIV/0!</v>
      </c>
      <c r="X31" s="622" t="e">
        <f t="shared" si="8"/>
        <v>#DIV/0!</v>
      </c>
      <c r="Y31" s="656"/>
      <c r="Z31" s="657">
        <f t="shared" si="10"/>
        <v>0</v>
      </c>
      <c r="AA31" s="634" t="e">
        <f t="shared" si="12"/>
        <v>#DIV/0!</v>
      </c>
      <c r="AB31" s="613">
        <v>0</v>
      </c>
      <c r="AC31" s="614"/>
      <c r="AD31" s="225">
        <v>19762139.22</v>
      </c>
    </row>
    <row r="32" spans="1:30" ht="15">
      <c r="A32" s="1296"/>
      <c r="B32" s="1297"/>
      <c r="C32" s="615" t="s">
        <v>1188</v>
      </c>
      <c r="D32" s="671">
        <v>10052.205</v>
      </c>
      <c r="E32" s="671">
        <v>10062.712</v>
      </c>
      <c r="F32" s="635" t="e">
        <f t="shared" si="0"/>
        <v>#DIV/0!</v>
      </c>
      <c r="G32" s="617" t="e">
        <f t="shared" si="1"/>
        <v>#DIV/0!</v>
      </c>
      <c r="H32" s="650" t="e">
        <f t="shared" si="2"/>
        <v>#DIV/0!</v>
      </c>
      <c r="I32" s="617" t="e">
        <f t="shared" si="3"/>
        <v>#DIV/0!</v>
      </c>
      <c r="J32" s="616">
        <v>2670706</v>
      </c>
      <c r="K32" s="616">
        <v>25845</v>
      </c>
      <c r="L32" s="617">
        <f t="shared" si="16"/>
        <v>2696551</v>
      </c>
      <c r="M32" s="643">
        <f t="shared" si="15"/>
        <v>27106554998.37</v>
      </c>
      <c r="N32" s="618"/>
      <c r="O32" s="670"/>
      <c r="P32" s="672">
        <f t="shared" si="11"/>
        <v>0</v>
      </c>
      <c r="Q32" s="670"/>
      <c r="R32" s="651" t="e">
        <f t="shared" si="4"/>
        <v>#DIV/0!</v>
      </c>
      <c r="S32" s="654" t="e">
        <f t="shared" si="5"/>
        <v>#DIV/0!</v>
      </c>
      <c r="T32" s="1298"/>
      <c r="U32" s="622">
        <f t="shared" si="6"/>
        <v>10052.305703978896</v>
      </c>
      <c r="V32" s="633"/>
      <c r="W32" s="624">
        <f t="shared" si="7"/>
        <v>0</v>
      </c>
      <c r="X32" s="622">
        <f t="shared" si="8"/>
        <v>0</v>
      </c>
      <c r="Y32" s="656">
        <f t="shared" si="9"/>
        <v>0</v>
      </c>
      <c r="Z32" s="657">
        <f t="shared" si="10"/>
        <v>0</v>
      </c>
      <c r="AA32" s="634" t="e">
        <f t="shared" si="12"/>
        <v>#DIV/0!</v>
      </c>
      <c r="AB32" s="613">
        <v>0</v>
      </c>
      <c r="AC32" s="614"/>
      <c r="AD32" s="225"/>
    </row>
    <row r="33" spans="1:30" ht="15">
      <c r="A33" s="595"/>
      <c r="B33" s="666"/>
      <c r="C33" s="615" t="s">
        <v>1187</v>
      </c>
      <c r="D33" s="671"/>
      <c r="E33" s="671"/>
      <c r="F33" s="635">
        <f t="shared" si="0"/>
        <v>3.01</v>
      </c>
      <c r="G33" s="617">
        <f t="shared" si="1"/>
        <v>-268287.72000000253</v>
      </c>
      <c r="H33" s="650">
        <f t="shared" si="2"/>
        <v>3.33</v>
      </c>
      <c r="I33" s="617">
        <f t="shared" si="3"/>
        <v>2593447.960000001</v>
      </c>
      <c r="J33" s="616"/>
      <c r="K33" s="616"/>
      <c r="L33" s="617">
        <f>L31+L32</f>
        <v>2696551</v>
      </c>
      <c r="M33" s="617">
        <f>M31+M32</f>
        <v>27106554998.37</v>
      </c>
      <c r="N33" s="628"/>
      <c r="O33" s="628">
        <v>9331210</v>
      </c>
      <c r="P33" s="672">
        <f t="shared" si="11"/>
        <v>388286</v>
      </c>
      <c r="Q33" s="628">
        <v>8942924</v>
      </c>
      <c r="R33" s="651">
        <f t="shared" si="4"/>
        <v>4.161153805347859</v>
      </c>
      <c r="S33" s="654">
        <f t="shared" si="5"/>
        <v>2904.93</v>
      </c>
      <c r="T33" s="669"/>
      <c r="U33" s="622">
        <f t="shared" si="6"/>
        <v>10052.305703978896</v>
      </c>
      <c r="V33" s="633">
        <v>29558122</v>
      </c>
      <c r="W33" s="624">
        <f t="shared" si="7"/>
        <v>10.961</v>
      </c>
      <c r="X33" s="622">
        <f t="shared" si="8"/>
        <v>3.04</v>
      </c>
      <c r="Y33" s="656">
        <f t="shared" si="9"/>
        <v>27186488.96</v>
      </c>
      <c r="Z33" s="657">
        <f t="shared" si="10"/>
        <v>-2371633.039999999</v>
      </c>
      <c r="AA33" s="634">
        <f t="shared" si="12"/>
        <v>38.590612076095944</v>
      </c>
      <c r="AB33" s="613">
        <v>31</v>
      </c>
      <c r="AC33" s="614">
        <v>37966233</v>
      </c>
      <c r="AD33" s="225"/>
    </row>
    <row r="34" spans="1:30" ht="15">
      <c r="A34" s="1296">
        <v>11</v>
      </c>
      <c r="B34" s="1297" t="s">
        <v>1861</v>
      </c>
      <c r="C34" s="615" t="s">
        <v>1189</v>
      </c>
      <c r="D34" s="616">
        <v>10005.821</v>
      </c>
      <c r="E34" s="616">
        <v>9999.878</v>
      </c>
      <c r="F34" s="635" t="e">
        <f t="shared" si="0"/>
        <v>#DIV/0!</v>
      </c>
      <c r="G34" s="617" t="e">
        <f t="shared" si="1"/>
        <v>#DIV/0!</v>
      </c>
      <c r="H34" s="650" t="e">
        <f t="shared" si="2"/>
        <v>#DIV/0!</v>
      </c>
      <c r="I34" s="617" t="e">
        <f t="shared" si="3"/>
        <v>#DIV/0!</v>
      </c>
      <c r="J34" s="616">
        <v>2510624</v>
      </c>
      <c r="K34" s="616">
        <v>3462</v>
      </c>
      <c r="L34" s="617">
        <f t="shared" si="16"/>
        <v>2514086</v>
      </c>
      <c r="M34" s="643">
        <f t="shared" si="15"/>
        <v>25155473919.940002</v>
      </c>
      <c r="N34" s="618"/>
      <c r="O34" s="619"/>
      <c r="P34" s="672">
        <f t="shared" si="11"/>
        <v>0</v>
      </c>
      <c r="Q34" s="619"/>
      <c r="R34" s="651" t="e">
        <f t="shared" si="4"/>
        <v>#DIV/0!</v>
      </c>
      <c r="S34" s="654" t="e">
        <f t="shared" si="5"/>
        <v>#DIV/0!</v>
      </c>
      <c r="T34" s="1298"/>
      <c r="U34" s="622">
        <f t="shared" si="6"/>
        <v>10005.812816244155</v>
      </c>
      <c r="V34" s="633"/>
      <c r="W34" s="624">
        <f t="shared" si="7"/>
        <v>0</v>
      </c>
      <c r="X34" s="622">
        <f t="shared" si="8"/>
        <v>0</v>
      </c>
      <c r="Y34" s="656">
        <f t="shared" si="9"/>
        <v>0</v>
      </c>
      <c r="Z34" s="657">
        <f t="shared" si="10"/>
        <v>0</v>
      </c>
      <c r="AA34" s="634" t="e">
        <f t="shared" si="12"/>
        <v>#DIV/0!</v>
      </c>
      <c r="AB34" s="613">
        <v>0</v>
      </c>
      <c r="AC34" s="614"/>
      <c r="AD34" s="225">
        <v>10779743.14</v>
      </c>
    </row>
    <row r="35" spans="1:30" ht="15">
      <c r="A35" s="1296"/>
      <c r="B35" s="1297"/>
      <c r="C35" s="615" t="s">
        <v>1188</v>
      </c>
      <c r="D35" s="616">
        <v>10050.646</v>
      </c>
      <c r="E35" s="616">
        <v>0</v>
      </c>
      <c r="F35" s="635" t="e">
        <f t="shared" si="0"/>
        <v>#DIV/0!</v>
      </c>
      <c r="G35" s="617" t="e">
        <f t="shared" si="1"/>
        <v>#DIV/0!</v>
      </c>
      <c r="H35" s="650" t="e">
        <f t="shared" si="2"/>
        <v>#DIV/0!</v>
      </c>
      <c r="I35" s="617" t="e">
        <f t="shared" si="3"/>
        <v>#DIV/0!</v>
      </c>
      <c r="J35" s="616">
        <v>2284823</v>
      </c>
      <c r="K35" s="616"/>
      <c r="L35" s="617">
        <f t="shared" si="16"/>
        <v>2284823</v>
      </c>
      <c r="M35" s="643">
        <f t="shared" si="15"/>
        <v>22963947145.658</v>
      </c>
      <c r="N35" s="618"/>
      <c r="O35" s="670"/>
      <c r="P35" s="672">
        <f t="shared" si="11"/>
        <v>0</v>
      </c>
      <c r="Q35" s="619"/>
      <c r="R35" s="651" t="e">
        <f t="shared" si="4"/>
        <v>#DIV/0!</v>
      </c>
      <c r="S35" s="654" t="e">
        <f t="shared" si="5"/>
        <v>#DIV/0!</v>
      </c>
      <c r="T35" s="1298"/>
      <c r="U35" s="622">
        <f t="shared" si="6"/>
        <v>10050.646</v>
      </c>
      <c r="V35" s="633"/>
      <c r="W35" s="624">
        <f t="shared" si="7"/>
        <v>0</v>
      </c>
      <c r="X35" s="622">
        <f t="shared" si="8"/>
        <v>0</v>
      </c>
      <c r="Y35" s="656">
        <f t="shared" si="9"/>
        <v>0</v>
      </c>
      <c r="Z35" s="657">
        <f t="shared" si="10"/>
        <v>0</v>
      </c>
      <c r="AA35" s="634" t="e">
        <f t="shared" si="12"/>
        <v>#DIV/0!</v>
      </c>
      <c r="AB35" s="613">
        <v>0</v>
      </c>
      <c r="AC35" s="614"/>
      <c r="AD35" s="225"/>
    </row>
    <row r="36" spans="1:30" ht="15">
      <c r="A36" s="595"/>
      <c r="B36" s="666"/>
      <c r="C36" s="615" t="s">
        <v>1187</v>
      </c>
      <c r="D36" s="616"/>
      <c r="E36" s="616"/>
      <c r="F36" s="635">
        <f t="shared" si="0"/>
        <v>3.13</v>
      </c>
      <c r="G36" s="617">
        <f t="shared" si="1"/>
        <v>1492904.0699999928</v>
      </c>
      <c r="H36" s="650">
        <f t="shared" si="2"/>
        <v>3.07</v>
      </c>
      <c r="I36" s="617">
        <f t="shared" si="3"/>
        <v>497634.6899999976</v>
      </c>
      <c r="J36" s="616"/>
      <c r="K36" s="616"/>
      <c r="L36" s="617">
        <f>L34+L35</f>
        <v>4798909</v>
      </c>
      <c r="M36" s="617">
        <f>M34+M35</f>
        <v>48119421065.59801</v>
      </c>
      <c r="N36" s="618"/>
      <c r="O36" s="702">
        <v>18017560</v>
      </c>
      <c r="P36" s="90">
        <v>1419736.2</v>
      </c>
      <c r="Q36" s="672">
        <v>16587823</v>
      </c>
      <c r="R36" s="651">
        <f t="shared" si="4"/>
        <v>7.879736212894532</v>
      </c>
      <c r="S36" s="654">
        <f t="shared" si="5"/>
        <v>2670.7</v>
      </c>
      <c r="T36" s="673"/>
      <c r="U36" s="622">
        <f t="shared" si="6"/>
        <v>10027.1584782287</v>
      </c>
      <c r="V36" s="633">
        <v>52471356</v>
      </c>
      <c r="W36" s="624">
        <f t="shared" si="7"/>
        <v>10.934</v>
      </c>
      <c r="X36" s="622">
        <f t="shared" si="8"/>
        <v>3.04</v>
      </c>
      <c r="Y36" s="656">
        <f t="shared" si="9"/>
        <v>50426981.92</v>
      </c>
      <c r="Z36" s="657">
        <f t="shared" si="10"/>
        <v>-2044374.0799999982</v>
      </c>
      <c r="AA36" s="634">
        <f t="shared" si="12"/>
        <v>82.49798534798535</v>
      </c>
      <c r="AB36" s="613">
        <v>28</v>
      </c>
      <c r="AC36" s="614">
        <v>73785044</v>
      </c>
      <c r="AD36" s="225">
        <v>23358059.8</v>
      </c>
    </row>
    <row r="37" spans="1:30" ht="15">
      <c r="A37" s="1296">
        <v>12</v>
      </c>
      <c r="B37" s="1297" t="s">
        <v>1862</v>
      </c>
      <c r="C37" s="615" t="s">
        <v>1189</v>
      </c>
      <c r="D37" s="616">
        <v>10069.741</v>
      </c>
      <c r="E37" s="616">
        <v>0</v>
      </c>
      <c r="F37" s="635" t="e">
        <f t="shared" si="0"/>
        <v>#DIV/0!</v>
      </c>
      <c r="G37" s="617" t="e">
        <f t="shared" si="1"/>
        <v>#DIV/0!</v>
      </c>
      <c r="H37" s="650" t="e">
        <f t="shared" si="2"/>
        <v>#DIV/0!</v>
      </c>
      <c r="I37" s="617" t="e">
        <f t="shared" si="3"/>
        <v>#DIV/0!</v>
      </c>
      <c r="J37" s="616">
        <v>2679231</v>
      </c>
      <c r="K37" s="616"/>
      <c r="L37" s="617">
        <f t="shared" si="16"/>
        <v>2679231</v>
      </c>
      <c r="M37" s="643">
        <f t="shared" si="15"/>
        <v>26979162249.171</v>
      </c>
      <c r="N37" s="618"/>
      <c r="O37" s="619"/>
      <c r="P37" s="672">
        <f t="shared" si="11"/>
        <v>0</v>
      </c>
      <c r="Q37" s="619"/>
      <c r="R37" s="651" t="e">
        <f t="shared" si="4"/>
        <v>#DIV/0!</v>
      </c>
      <c r="S37" s="654" t="e">
        <f t="shared" si="5"/>
        <v>#DIV/0!</v>
      </c>
      <c r="T37" s="593"/>
      <c r="U37" s="622">
        <f t="shared" si="6"/>
        <v>10069.741</v>
      </c>
      <c r="V37" s="633"/>
      <c r="W37" s="624">
        <f t="shared" si="7"/>
        <v>0</v>
      </c>
      <c r="X37" s="622">
        <f t="shared" si="8"/>
        <v>0</v>
      </c>
      <c r="Y37" s="656">
        <f t="shared" si="9"/>
        <v>0</v>
      </c>
      <c r="Z37" s="657">
        <f t="shared" si="10"/>
        <v>0</v>
      </c>
      <c r="AA37" s="634" t="e">
        <f t="shared" si="12"/>
        <v>#DIV/0!</v>
      </c>
      <c r="AB37" s="613">
        <v>0</v>
      </c>
      <c r="AC37" s="614"/>
      <c r="AD37" s="225"/>
    </row>
    <row r="38" spans="1:30" ht="15">
      <c r="A38" s="1299"/>
      <c r="B38" s="1300"/>
      <c r="C38" s="674" t="s">
        <v>1188</v>
      </c>
      <c r="D38" s="675">
        <v>10048.309</v>
      </c>
      <c r="E38" s="675">
        <v>0</v>
      </c>
      <c r="F38" s="635" t="e">
        <f t="shared" si="0"/>
        <v>#DIV/0!</v>
      </c>
      <c r="G38" s="617" t="e">
        <f t="shared" si="1"/>
        <v>#DIV/0!</v>
      </c>
      <c r="H38" s="650" t="e">
        <f t="shared" si="2"/>
        <v>#DIV/0!</v>
      </c>
      <c r="I38" s="617" t="e">
        <f t="shared" si="3"/>
        <v>#DIV/0!</v>
      </c>
      <c r="J38" s="675">
        <v>2731572</v>
      </c>
      <c r="K38" s="675"/>
      <c r="L38" s="617">
        <f t="shared" si="16"/>
        <v>2731572</v>
      </c>
      <c r="M38" s="643">
        <f t="shared" si="15"/>
        <v>27447679511.747997</v>
      </c>
      <c r="N38" s="676"/>
      <c r="O38" s="702"/>
      <c r="P38" s="672">
        <f t="shared" si="11"/>
        <v>0</v>
      </c>
      <c r="Q38" s="619"/>
      <c r="R38" s="651" t="e">
        <f t="shared" si="4"/>
        <v>#DIV/0!</v>
      </c>
      <c r="S38" s="654" t="e">
        <f t="shared" si="5"/>
        <v>#DIV/0!</v>
      </c>
      <c r="T38" s="593"/>
      <c r="U38" s="622">
        <f t="shared" si="6"/>
        <v>10048.309</v>
      </c>
      <c r="V38" s="633"/>
      <c r="W38" s="624">
        <f t="shared" si="7"/>
        <v>0</v>
      </c>
      <c r="X38" s="622">
        <f t="shared" si="8"/>
        <v>0</v>
      </c>
      <c r="Y38" s="656">
        <f t="shared" si="9"/>
        <v>0</v>
      </c>
      <c r="Z38" s="657">
        <f t="shared" si="10"/>
        <v>0</v>
      </c>
      <c r="AA38" s="634" t="e">
        <f t="shared" si="12"/>
        <v>#DIV/0!</v>
      </c>
      <c r="AB38" s="613">
        <v>0</v>
      </c>
      <c r="AC38" s="614"/>
      <c r="AD38" s="225"/>
    </row>
    <row r="39" spans="1:30" ht="15">
      <c r="A39" s="595"/>
      <c r="B39" s="666"/>
      <c r="C39" s="615" t="s">
        <v>1187</v>
      </c>
      <c r="D39" s="616"/>
      <c r="E39" s="616"/>
      <c r="F39" s="635">
        <f t="shared" si="0"/>
        <v>3.1</v>
      </c>
      <c r="G39" s="617">
        <f t="shared" si="1"/>
        <v>789600</v>
      </c>
      <c r="H39" s="650">
        <f t="shared" si="2"/>
        <v>2.98</v>
      </c>
      <c r="I39" s="617">
        <f t="shared" si="3"/>
        <v>-1579200</v>
      </c>
      <c r="J39" s="616"/>
      <c r="K39" s="616"/>
      <c r="L39" s="617">
        <f>L37+L38</f>
        <v>5410803</v>
      </c>
      <c r="M39" s="617">
        <f>M37+M38</f>
        <v>54426841760.919</v>
      </c>
      <c r="N39" s="618"/>
      <c r="O39" s="614">
        <v>21068320</v>
      </c>
      <c r="P39" s="672">
        <f t="shared" si="11"/>
        <v>1328320</v>
      </c>
      <c r="Q39" s="614">
        <v>19740000</v>
      </c>
      <c r="R39" s="651">
        <f t="shared" si="4"/>
        <v>6.3048216469087235</v>
      </c>
      <c r="S39" s="654">
        <f t="shared" si="5"/>
        <v>2583.35</v>
      </c>
      <c r="T39" s="611"/>
      <c r="U39" s="622">
        <f t="shared" si="6"/>
        <v>10058.921339571778</v>
      </c>
      <c r="V39" s="633">
        <v>59723502</v>
      </c>
      <c r="W39" s="624">
        <f t="shared" si="7"/>
        <v>11.038</v>
      </c>
      <c r="X39" s="622">
        <f t="shared" si="8"/>
        <v>3.06</v>
      </c>
      <c r="Y39" s="656">
        <f t="shared" si="9"/>
        <v>60404400</v>
      </c>
      <c r="Z39" s="657">
        <f t="shared" si="10"/>
        <v>680898</v>
      </c>
      <c r="AA39" s="634">
        <f t="shared" si="12"/>
        <v>87.13118279569892</v>
      </c>
      <c r="AB39" s="614">
        <v>31</v>
      </c>
      <c r="AC39" s="614">
        <v>85593203</v>
      </c>
      <c r="AD39" s="225">
        <v>25188802.94</v>
      </c>
    </row>
    <row r="40" spans="1:30" ht="15">
      <c r="A40" s="677"/>
      <c r="B40" s="678"/>
      <c r="C40" s="679"/>
      <c r="D40" s="680"/>
      <c r="E40" s="680"/>
      <c r="F40" s="680"/>
      <c r="G40" s="680"/>
      <c r="H40" s="681"/>
      <c r="I40" s="680"/>
      <c r="J40" s="680"/>
      <c r="K40" s="680"/>
      <c r="L40" s="680"/>
      <c r="M40" s="682"/>
      <c r="N40" s="682"/>
      <c r="O40" s="673"/>
      <c r="P40" s="673"/>
      <c r="Q40" s="683"/>
      <c r="R40" s="593"/>
      <c r="S40" s="593"/>
      <c r="T40" s="593"/>
      <c r="U40" s="593"/>
      <c r="V40" s="593"/>
      <c r="W40" s="593"/>
      <c r="X40" s="684"/>
      <c r="Y40" s="685"/>
      <c r="Z40" s="686">
        <f>SUM(Z6,Z9,Z12,Z15,Z18,Z21,Z24,Z27,Z30,Z33,Z36,Z39)</f>
        <v>-23578339.148000002</v>
      </c>
      <c r="AA40" s="685"/>
      <c r="AB40" s="685">
        <f>SUM(AB5:AB39)</f>
        <v>365</v>
      </c>
      <c r="AC40" s="685">
        <f>SUM(AC6:AC39)</f>
        <v>931995321</v>
      </c>
      <c r="AD40" s="90">
        <f>SUM(AD4:AD39)</f>
        <v>255572411.76</v>
      </c>
    </row>
    <row r="41" spans="1:30" ht="15">
      <c r="A41" s="677"/>
      <c r="B41" s="678"/>
      <c r="C41" s="593"/>
      <c r="D41" s="593"/>
      <c r="E41" s="593"/>
      <c r="F41" s="593"/>
      <c r="G41" s="593">
        <f>SUM(G6,G9,G12,G15,G18,G21,G24,G27,G30,G33,G36,G39)</f>
        <v>10886329.182000007</v>
      </c>
      <c r="H41" s="593"/>
      <c r="I41" s="593">
        <f>SUM(I6,I9,I12,I15,I18,I21,I24,I27,I30,I33,I36,I39)</f>
        <v>12241679.069999993</v>
      </c>
      <c r="J41" s="593"/>
      <c r="K41" s="593"/>
      <c r="L41" s="593"/>
      <c r="M41" s="593"/>
      <c r="N41" s="593"/>
      <c r="O41" s="687">
        <f>SUM(O6,O9,O12,O15,O18,O21,O24,O27,O30,O33,O36,O39)</f>
        <v>229567790</v>
      </c>
      <c r="P41" s="687">
        <f>SUM(P6,P9,P12,P15,P18,P21,P24,P27,P30,P33,P36,P39)</f>
        <v>15384649.599999998</v>
      </c>
      <c r="Q41" s="687">
        <f>SUM(Q6,Q9,Q12,Q15,Q18,Q21,Q24,Q27,Q30,Q33,Q36,Q39)</f>
        <v>214173139.6</v>
      </c>
      <c r="R41" s="688">
        <f>(P41/O41)*100</f>
        <v>6.701571505305687</v>
      </c>
      <c r="S41" s="593"/>
      <c r="T41" s="593"/>
      <c r="U41" s="593"/>
      <c r="V41" s="593">
        <f>SUM(V6,V9,V12,V15,V18,V21,V24,V27,V30,V33,V36,V39)</f>
        <v>621977099</v>
      </c>
      <c r="W41" s="593"/>
      <c r="X41" s="593"/>
      <c r="Y41" s="685">
        <f>SUM(Y6,Y9,Y12,Y15,Y18,Y21,Y24,Y27,Y30,Y33,Y36,Y39)</f>
        <v>598398759.852</v>
      </c>
      <c r="Z41" s="689">
        <f>Z40/10000000</f>
        <v>-2.3578339148</v>
      </c>
      <c r="AA41" s="685"/>
      <c r="AB41" s="685"/>
      <c r="AC41" s="686">
        <f>AC40/10000000</f>
        <v>93.1995321</v>
      </c>
      <c r="AD41" s="690">
        <f>AD40/10000000</f>
        <v>25.557241175999998</v>
      </c>
    </row>
    <row r="42" spans="1:29" ht="15">
      <c r="A42" s="593"/>
      <c r="B42" s="593"/>
      <c r="C42" s="593"/>
      <c r="D42" s="593"/>
      <c r="E42" s="593"/>
      <c r="F42" s="593"/>
      <c r="G42" s="688">
        <f>G41/10000000</f>
        <v>1.0886329182000007</v>
      </c>
      <c r="H42" s="593"/>
      <c r="I42" s="688">
        <f>I41/10000000</f>
        <v>1.2241679069999993</v>
      </c>
      <c r="J42" s="593"/>
      <c r="K42" s="593"/>
      <c r="L42" s="687">
        <f>SUM(L6,L9,L12,L15,L18,L21,L24,L27,L30,L33,L36,L39)</f>
        <v>61794810</v>
      </c>
      <c r="M42" s="687">
        <f>SUM(M6,M9,M12,M15,M18,M21,M24,M27,M30,M33,M36,M39)</f>
        <v>619962633363.104</v>
      </c>
      <c r="N42" s="593"/>
      <c r="O42" s="686">
        <f>O41/1000000</f>
        <v>229.56779</v>
      </c>
      <c r="P42" s="686">
        <f>P41/1000000</f>
        <v>15.384649599999998</v>
      </c>
      <c r="Q42" s="686">
        <f>Q41/1000000</f>
        <v>214.17313959999998</v>
      </c>
      <c r="R42" s="593"/>
      <c r="S42" s="593"/>
      <c r="T42" s="593"/>
      <c r="U42" s="593"/>
      <c r="V42" s="686">
        <f>V41/10000000</f>
        <v>62.1977099</v>
      </c>
      <c r="W42" s="593"/>
      <c r="X42" s="593"/>
      <c r="Y42" s="686">
        <f>Y41/10000000</f>
        <v>59.8398759852</v>
      </c>
      <c r="Z42" s="685"/>
      <c r="AA42" s="685"/>
      <c r="AB42" s="685"/>
      <c r="AC42" s="685"/>
    </row>
    <row r="43" spans="1:29" ht="15">
      <c r="A43" s="593"/>
      <c r="B43" s="593"/>
      <c r="C43" s="593"/>
      <c r="D43" s="593"/>
      <c r="E43" s="593"/>
      <c r="F43" s="593"/>
      <c r="G43" s="593"/>
      <c r="H43" s="593"/>
      <c r="I43" s="593"/>
      <c r="J43" s="593"/>
      <c r="K43" s="593"/>
      <c r="L43" s="593"/>
      <c r="M43" s="593"/>
      <c r="N43" s="593"/>
      <c r="O43" s="593"/>
      <c r="P43" s="688">
        <f>P41*100/O41</f>
        <v>6.701571505305687</v>
      </c>
      <c r="Q43" s="593"/>
      <c r="R43" s="593"/>
      <c r="S43" s="593"/>
      <c r="T43" s="593"/>
      <c r="U43" s="593"/>
      <c r="V43" s="593"/>
      <c r="W43" s="593"/>
      <c r="X43" s="593"/>
      <c r="Y43" s="593"/>
      <c r="Z43" s="593"/>
      <c r="AA43" s="593"/>
      <c r="AB43" s="593"/>
      <c r="AC43" s="593"/>
    </row>
    <row r="44" spans="1:29" ht="15">
      <c r="A44" s="1295" t="s">
        <v>1186</v>
      </c>
      <c r="B44" s="1295"/>
      <c r="C44" s="1295"/>
      <c r="D44" s="1295"/>
      <c r="E44" s="1295"/>
      <c r="F44" s="1295"/>
      <c r="G44" s="1295"/>
      <c r="H44" s="1295"/>
      <c r="I44" s="1295"/>
      <c r="J44" s="1295"/>
      <c r="K44" s="593" t="s">
        <v>1185</v>
      </c>
      <c r="L44" s="593"/>
      <c r="M44" s="691">
        <f>M42/L42</f>
        <v>10032.600365032338</v>
      </c>
      <c r="N44" s="593"/>
      <c r="O44" s="593" t="s">
        <v>1184</v>
      </c>
      <c r="P44" s="593"/>
      <c r="Q44" s="593"/>
      <c r="R44" s="593"/>
      <c r="S44" s="593"/>
      <c r="T44" s="593"/>
      <c r="U44" s="593" t="s">
        <v>1183</v>
      </c>
      <c r="V44" s="688">
        <f>(O41*100)/(780000*AB40)</f>
        <v>80.63498068141904</v>
      </c>
      <c r="W44" s="593"/>
      <c r="X44" s="593"/>
      <c r="Y44" s="593"/>
      <c r="Z44" s="593">
        <f>Q15*X15</f>
        <v>53651160</v>
      </c>
      <c r="AA44" s="593"/>
      <c r="AB44" s="593"/>
      <c r="AC44" s="593"/>
    </row>
    <row r="45" spans="1:29" ht="15">
      <c r="A45" s="593"/>
      <c r="B45" s="593"/>
      <c r="C45" s="593"/>
      <c r="D45" s="593"/>
      <c r="E45" s="593"/>
      <c r="F45" s="593"/>
      <c r="G45" s="593"/>
      <c r="H45" s="703" t="s">
        <v>1863</v>
      </c>
      <c r="I45" s="593"/>
      <c r="J45" s="692">
        <f>V41/L42</f>
        <v>10.065199634079303</v>
      </c>
      <c r="K45" s="593"/>
      <c r="L45" s="593"/>
      <c r="M45" s="593"/>
      <c r="N45" s="593"/>
      <c r="O45" s="593"/>
      <c r="P45" s="593"/>
      <c r="Q45" s="593"/>
      <c r="R45" s="593"/>
      <c r="S45" s="593"/>
      <c r="T45" s="593"/>
      <c r="U45" s="593"/>
      <c r="V45" s="593"/>
      <c r="W45" s="593"/>
      <c r="X45" s="593"/>
      <c r="Y45" s="593"/>
      <c r="Z45" s="593">
        <f>19928367.8*2.87</f>
        <v>57194415.586</v>
      </c>
      <c r="AA45" s="593"/>
      <c r="AB45" s="593"/>
      <c r="AC45" s="593"/>
    </row>
    <row r="46" spans="1:29" ht="15">
      <c r="A46" s="1295" t="s">
        <v>1182</v>
      </c>
      <c r="B46" s="1295"/>
      <c r="C46" s="1295"/>
      <c r="D46" s="1295"/>
      <c r="E46" s="684">
        <f>ROUND((L42*M44)/O41,2)</f>
        <v>2700.56</v>
      </c>
      <c r="F46" s="684"/>
      <c r="G46" s="691">
        <f>(L42*M44)/O41</f>
        <v>2700.5645407097572</v>
      </c>
      <c r="H46" s="593"/>
      <c r="I46" s="593"/>
      <c r="J46" s="593" t="s">
        <v>1181</v>
      </c>
      <c r="K46" s="593"/>
      <c r="L46" s="593"/>
      <c r="M46" s="593"/>
      <c r="N46" s="593"/>
      <c r="O46" s="593"/>
      <c r="P46" s="593"/>
      <c r="Q46" s="593"/>
      <c r="R46" s="593"/>
      <c r="S46" s="593"/>
      <c r="T46" s="593"/>
      <c r="U46" s="593"/>
      <c r="V46" s="593"/>
      <c r="W46" s="593"/>
      <c r="X46" s="593"/>
      <c r="Y46" s="593"/>
      <c r="Z46" s="593"/>
      <c r="AA46" s="593"/>
      <c r="AB46" s="593"/>
      <c r="AC46" s="593"/>
    </row>
    <row r="47" spans="1:29" ht="15">
      <c r="A47" s="593"/>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row>
    <row r="48" spans="1:29" ht="15">
      <c r="A48" s="593" t="s">
        <v>1180</v>
      </c>
      <c r="B48" s="593"/>
      <c r="C48" s="593"/>
      <c r="D48" s="593"/>
      <c r="E48" s="593"/>
      <c r="F48" s="593"/>
      <c r="G48" s="593"/>
      <c r="H48" s="593"/>
      <c r="I48" s="593" t="s">
        <v>1179</v>
      </c>
      <c r="J48" s="593"/>
      <c r="K48" s="593" t="s">
        <v>1178</v>
      </c>
      <c r="L48" s="686">
        <f>(2646*C50*100)/(M44*(100-5))</f>
        <v>2.794313408053936</v>
      </c>
      <c r="M48" s="593"/>
      <c r="N48" s="593"/>
      <c r="O48" s="593"/>
      <c r="P48" s="593"/>
      <c r="Q48" s="593"/>
      <c r="R48" s="593"/>
      <c r="S48" s="593"/>
      <c r="T48" s="593"/>
      <c r="U48" s="593"/>
      <c r="V48" s="593"/>
      <c r="W48" s="593"/>
      <c r="X48" s="593"/>
      <c r="Y48" s="593"/>
      <c r="Z48" s="593"/>
      <c r="AA48" s="593"/>
      <c r="AB48" s="593"/>
      <c r="AC48" s="593"/>
    </row>
    <row r="49" spans="1:29" ht="15">
      <c r="A49" s="593"/>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row>
    <row r="50" spans="1:29" ht="15">
      <c r="A50" s="704" t="s">
        <v>1177</v>
      </c>
      <c r="B50" s="704"/>
      <c r="C50" s="692">
        <f>V41/L42</f>
        <v>10.065199634079303</v>
      </c>
      <c r="D50" s="686">
        <f>V41*1000/L42</f>
        <v>10065.199634079303</v>
      </c>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row>
    <row r="51" spans="1:29" ht="15">
      <c r="A51" s="593"/>
      <c r="B51" s="593"/>
      <c r="C51" s="693"/>
      <c r="D51" s="593"/>
      <c r="E51" s="593"/>
      <c r="F51" s="593"/>
      <c r="G51" s="694"/>
      <c r="H51" s="695"/>
      <c r="I51" s="610"/>
      <c r="J51" s="593"/>
      <c r="K51" s="593"/>
      <c r="L51" s="593"/>
      <c r="M51" s="593"/>
      <c r="N51" s="593"/>
      <c r="O51" s="593"/>
      <c r="P51" s="593"/>
      <c r="Q51" s="593"/>
      <c r="R51" s="593"/>
      <c r="S51" s="593"/>
      <c r="T51" s="593"/>
      <c r="U51" s="593"/>
      <c r="V51" s="593"/>
      <c r="W51" s="593"/>
      <c r="X51" s="593"/>
      <c r="Y51" s="593"/>
      <c r="Z51" s="593"/>
      <c r="AA51" s="593"/>
      <c r="AB51" s="593"/>
      <c r="AC51" s="593"/>
    </row>
  </sheetData>
  <sheetProtection/>
  <mergeCells count="38">
    <mergeCell ref="A1:Z1"/>
    <mergeCell ref="D2:G2"/>
    <mergeCell ref="H2:I2"/>
    <mergeCell ref="J2:L2"/>
    <mergeCell ref="A4:A6"/>
    <mergeCell ref="B4:B6"/>
    <mergeCell ref="A7:A8"/>
    <mergeCell ref="B7:B8"/>
    <mergeCell ref="T7:T8"/>
    <mergeCell ref="A10:A11"/>
    <mergeCell ref="B10:B11"/>
    <mergeCell ref="T10:T11"/>
    <mergeCell ref="A13:A14"/>
    <mergeCell ref="B13:B14"/>
    <mergeCell ref="T13:T14"/>
    <mergeCell ref="A16:A17"/>
    <mergeCell ref="B16:B17"/>
    <mergeCell ref="T16:T17"/>
    <mergeCell ref="A19:A20"/>
    <mergeCell ref="B19:B20"/>
    <mergeCell ref="T19:T20"/>
    <mergeCell ref="A23:A24"/>
    <mergeCell ref="B23:B24"/>
    <mergeCell ref="T23:T24"/>
    <mergeCell ref="B26:B27"/>
    <mergeCell ref="A28:A29"/>
    <mergeCell ref="B28:B29"/>
    <mergeCell ref="T28:T29"/>
    <mergeCell ref="A31:A32"/>
    <mergeCell ref="B31:B32"/>
    <mergeCell ref="T31:T32"/>
    <mergeCell ref="A46:D46"/>
    <mergeCell ref="A34:A35"/>
    <mergeCell ref="B34:B35"/>
    <mergeCell ref="T34:T35"/>
    <mergeCell ref="A37:A38"/>
    <mergeCell ref="B37:B38"/>
    <mergeCell ref="A44:J44"/>
  </mergeCells>
  <printOptions horizontalCentered="1" verticalCentered="1"/>
  <pageMargins left="0.21" right="0.17" top="0.27" bottom="0.2" header="0.3" footer="0.3"/>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L33"/>
  <sheetViews>
    <sheetView view="pageBreakPreview" zoomScale="75" zoomScaleNormal="75" zoomScaleSheetLayoutView="75" zoomScalePageLayoutView="0" workbookViewId="0" topLeftCell="A1">
      <selection activeCell="A3" sqref="A3:J32"/>
    </sheetView>
  </sheetViews>
  <sheetFormatPr defaultColWidth="9.33203125" defaultRowHeight="15" customHeight="1"/>
  <cols>
    <col min="1" max="1" width="7" style="90" customWidth="1"/>
    <col min="2" max="2" width="63.83203125" style="90" customWidth="1"/>
    <col min="3" max="3" width="15" style="90" customWidth="1"/>
    <col min="4" max="4" width="14.5" style="90" hidden="1" customWidth="1"/>
    <col min="5" max="5" width="17.33203125" style="90" customWidth="1"/>
    <col min="6" max="6" width="0.328125" style="90" hidden="1" customWidth="1"/>
    <col min="7" max="7" width="17.33203125" style="90" customWidth="1"/>
    <col min="8" max="8" width="14.16015625" style="90" hidden="1" customWidth="1"/>
    <col min="9" max="9" width="15.66015625" style="90" customWidth="1"/>
    <col min="10" max="10" width="17.33203125" style="90" customWidth="1"/>
    <col min="11" max="11" width="9.33203125" style="90" customWidth="1"/>
    <col min="12" max="12" width="16" style="90" bestFit="1" customWidth="1"/>
    <col min="13" max="16384" width="9.33203125" style="90" customWidth="1"/>
  </cols>
  <sheetData>
    <row r="1" spans="1:11" ht="15" customHeight="1">
      <c r="A1" s="395"/>
      <c r="B1" s="395"/>
      <c r="C1" s="395"/>
      <c r="D1" s="395"/>
      <c r="E1" s="395"/>
      <c r="G1" s="395"/>
      <c r="H1" s="396" t="s">
        <v>1172</v>
      </c>
      <c r="I1" s="396"/>
      <c r="J1" s="395"/>
      <c r="K1" s="395"/>
    </row>
    <row r="2" spans="1:11" ht="15" customHeight="1">
      <c r="A2" s="395"/>
      <c r="B2" s="395"/>
      <c r="C2" s="395"/>
      <c r="D2" s="395"/>
      <c r="E2" s="395"/>
      <c r="H2" s="1125"/>
      <c r="I2" s="1125"/>
      <c r="J2" s="1125"/>
      <c r="K2" s="395"/>
    </row>
    <row r="3" spans="1:11" ht="34.5" customHeight="1">
      <c r="A3" s="395"/>
      <c r="B3" s="1126" t="s">
        <v>1698</v>
      </c>
      <c r="C3" s="1126"/>
      <c r="D3" s="1126"/>
      <c r="E3" s="1126"/>
      <c r="F3" s="1126"/>
      <c r="G3" s="1126"/>
      <c r="H3" s="395"/>
      <c r="I3" s="395"/>
      <c r="J3" s="395"/>
      <c r="K3" s="395"/>
    </row>
    <row r="4" spans="1:11" ht="15" customHeight="1">
      <c r="A4" s="395"/>
      <c r="B4" s="397" t="s">
        <v>1699</v>
      </c>
      <c r="C4" s="1127" t="s">
        <v>1404</v>
      </c>
      <c r="D4" s="1127"/>
      <c r="E4" s="1127"/>
      <c r="F4" s="1127"/>
      <c r="G4" s="1127"/>
      <c r="H4" s="395"/>
      <c r="I4" s="395"/>
      <c r="J4" s="395"/>
      <c r="K4" s="395"/>
    </row>
    <row r="5" spans="1:11" ht="15" customHeight="1">
      <c r="A5" s="395"/>
      <c r="B5" s="397" t="s">
        <v>1576</v>
      </c>
      <c r="C5" s="398" t="s">
        <v>1700</v>
      </c>
      <c r="E5" s="399"/>
      <c r="F5" s="400"/>
      <c r="G5" s="400"/>
      <c r="H5" s="400"/>
      <c r="I5" s="400"/>
      <c r="J5" s="400"/>
      <c r="K5" s="400"/>
    </row>
    <row r="6" spans="1:11" ht="15" customHeight="1">
      <c r="A6" s="395"/>
      <c r="B6" s="401" t="s">
        <v>1701</v>
      </c>
      <c r="C6" s="402"/>
      <c r="D6" s="402"/>
      <c r="E6" s="402"/>
      <c r="F6" s="402"/>
      <c r="G6" s="395"/>
      <c r="H6" s="395"/>
      <c r="I6" s="395"/>
      <c r="J6" s="395"/>
      <c r="K6" s="395"/>
    </row>
    <row r="7" spans="1:11" ht="15" customHeight="1">
      <c r="A7" s="395"/>
      <c r="B7" s="401" t="s">
        <v>1702</v>
      </c>
      <c r="C7" s="402"/>
      <c r="D7" s="402"/>
      <c r="E7" s="402"/>
      <c r="F7" s="402"/>
      <c r="G7" s="403"/>
      <c r="H7" s="403"/>
      <c r="I7" s="403"/>
      <c r="J7" s="403"/>
      <c r="K7" s="403"/>
    </row>
    <row r="8" spans="1:11" ht="44.25" customHeight="1">
      <c r="A8" s="404" t="s">
        <v>1467</v>
      </c>
      <c r="B8" s="404" t="s">
        <v>1229</v>
      </c>
      <c r="C8" s="404" t="s">
        <v>1466</v>
      </c>
      <c r="E8" s="405" t="s">
        <v>2033</v>
      </c>
      <c r="F8" s="225"/>
      <c r="G8" s="405" t="s">
        <v>2032</v>
      </c>
      <c r="H8" s="405"/>
      <c r="I8" s="405" t="s">
        <v>2031</v>
      </c>
      <c r="J8" s="405" t="s">
        <v>2030</v>
      </c>
      <c r="K8" s="403"/>
    </row>
    <row r="9" spans="1:11" ht="15" customHeight="1">
      <c r="A9" s="404"/>
      <c r="B9" s="404"/>
      <c r="C9" s="404"/>
      <c r="D9" s="406" t="s">
        <v>1706</v>
      </c>
      <c r="E9" s="406" t="s">
        <v>1707</v>
      </c>
      <c r="F9" s="406" t="s">
        <v>1707</v>
      </c>
      <c r="G9" s="406" t="s">
        <v>1707</v>
      </c>
      <c r="H9" s="406" t="s">
        <v>1707</v>
      </c>
      <c r="I9" s="406"/>
      <c r="J9" s="406" t="s">
        <v>1707</v>
      </c>
      <c r="K9" s="403"/>
    </row>
    <row r="10" spans="1:11" ht="15" customHeight="1">
      <c r="A10" s="407">
        <v>1</v>
      </c>
      <c r="B10" s="408" t="s">
        <v>1708</v>
      </c>
      <c r="C10" s="409" t="s">
        <v>1709</v>
      </c>
      <c r="D10" s="410">
        <v>53.72</v>
      </c>
      <c r="E10" s="411">
        <v>5279398</v>
      </c>
      <c r="F10" s="412">
        <v>0</v>
      </c>
      <c r="G10" s="413">
        <v>5274382</v>
      </c>
      <c r="H10" s="414">
        <v>0</v>
      </c>
      <c r="I10" s="1065">
        <v>5211611</v>
      </c>
      <c r="J10" s="415">
        <v>5137806</v>
      </c>
      <c r="K10" s="403"/>
    </row>
    <row r="11" spans="1:11" ht="15" customHeight="1">
      <c r="A11" s="407">
        <v>2</v>
      </c>
      <c r="B11" s="408" t="s">
        <v>1710</v>
      </c>
      <c r="C11" s="409" t="s">
        <v>1709</v>
      </c>
      <c r="D11" s="410">
        <v>0</v>
      </c>
      <c r="E11" s="412">
        <v>0</v>
      </c>
      <c r="F11" s="412">
        <v>0</v>
      </c>
      <c r="G11" s="412">
        <v>0</v>
      </c>
      <c r="H11" s="412">
        <v>0</v>
      </c>
      <c r="I11" s="1062"/>
      <c r="J11" s="416">
        <v>0</v>
      </c>
      <c r="K11" s="403"/>
    </row>
    <row r="12" spans="1:11" ht="15" customHeight="1">
      <c r="A12" s="407">
        <v>3</v>
      </c>
      <c r="B12" s="417" t="s">
        <v>1711</v>
      </c>
      <c r="C12" s="409" t="s">
        <v>1709</v>
      </c>
      <c r="D12" s="410">
        <f aca="true" t="shared" si="0" ref="D12:J12">+D10-D11</f>
        <v>53.72</v>
      </c>
      <c r="E12" s="418">
        <f t="shared" si="0"/>
        <v>5279398</v>
      </c>
      <c r="F12" s="412">
        <f t="shared" si="0"/>
        <v>0</v>
      </c>
      <c r="G12" s="418">
        <f t="shared" si="0"/>
        <v>5274382</v>
      </c>
      <c r="H12" s="418">
        <f t="shared" si="0"/>
        <v>0</v>
      </c>
      <c r="I12" s="418">
        <f t="shared" si="0"/>
        <v>5211611</v>
      </c>
      <c r="J12" s="419">
        <f t="shared" si="0"/>
        <v>5137806</v>
      </c>
      <c r="K12" s="403"/>
    </row>
    <row r="13" spans="1:11" ht="15" customHeight="1">
      <c r="A13" s="407">
        <v>4</v>
      </c>
      <c r="B13" s="408" t="s">
        <v>1712</v>
      </c>
      <c r="C13" s="409" t="s">
        <v>1709</v>
      </c>
      <c r="D13" s="410">
        <v>0</v>
      </c>
      <c r="E13" s="412">
        <v>0</v>
      </c>
      <c r="F13" s="412"/>
      <c r="G13" s="418">
        <v>0</v>
      </c>
      <c r="H13" s="418"/>
      <c r="I13" s="1063"/>
      <c r="J13" s="419">
        <v>0</v>
      </c>
      <c r="K13" s="403"/>
    </row>
    <row r="14" spans="1:11" ht="15" customHeight="1">
      <c r="A14" s="407">
        <v>5</v>
      </c>
      <c r="B14" s="408" t="s">
        <v>1713</v>
      </c>
      <c r="C14" s="409" t="s">
        <v>1709</v>
      </c>
      <c r="D14" s="410">
        <f aca="true" t="shared" si="1" ref="D14:J14">+D12-D13</f>
        <v>53.72</v>
      </c>
      <c r="E14" s="418">
        <f t="shared" si="1"/>
        <v>5279398</v>
      </c>
      <c r="F14" s="412">
        <f t="shared" si="1"/>
        <v>0</v>
      </c>
      <c r="G14" s="418">
        <f t="shared" si="1"/>
        <v>5274382</v>
      </c>
      <c r="H14" s="418">
        <f t="shared" si="1"/>
        <v>0</v>
      </c>
      <c r="I14" s="418">
        <f t="shared" si="1"/>
        <v>5211611</v>
      </c>
      <c r="J14" s="419">
        <f t="shared" si="1"/>
        <v>5137806</v>
      </c>
      <c r="K14" s="403"/>
    </row>
    <row r="15" spans="1:11" ht="15" customHeight="1">
      <c r="A15" s="407">
        <v>6</v>
      </c>
      <c r="B15" s="408" t="s">
        <v>1714</v>
      </c>
      <c r="C15" s="409" t="s">
        <v>1715</v>
      </c>
      <c r="D15" s="420">
        <v>1215844</v>
      </c>
      <c r="E15" s="286">
        <v>153699781</v>
      </c>
      <c r="F15" s="412">
        <v>0</v>
      </c>
      <c r="G15" s="286">
        <v>153319018</v>
      </c>
      <c r="H15" s="412">
        <v>0</v>
      </c>
      <c r="I15" s="1066">
        <v>151226772</v>
      </c>
      <c r="J15" s="372">
        <v>149903388</v>
      </c>
      <c r="K15" s="403"/>
    </row>
    <row r="16" spans="1:11" ht="15" customHeight="1">
      <c r="A16" s="407">
        <v>7</v>
      </c>
      <c r="B16" s="408" t="s">
        <v>1716</v>
      </c>
      <c r="C16" s="409" t="s">
        <v>1715</v>
      </c>
      <c r="D16" s="420">
        <v>0</v>
      </c>
      <c r="E16" s="418">
        <v>0</v>
      </c>
      <c r="F16" s="412">
        <v>0</v>
      </c>
      <c r="G16" s="418">
        <v>0</v>
      </c>
      <c r="H16" s="412">
        <v>0</v>
      </c>
      <c r="I16" s="1062"/>
      <c r="J16" s="419">
        <v>0</v>
      </c>
      <c r="K16" s="403"/>
    </row>
    <row r="17" spans="1:11" ht="15" customHeight="1">
      <c r="A17" s="407">
        <v>8</v>
      </c>
      <c r="B17" s="408" t="s">
        <v>1717</v>
      </c>
      <c r="C17" s="409" t="s">
        <v>1715</v>
      </c>
      <c r="D17" s="420">
        <f>+D15-D16</f>
        <v>1215844</v>
      </c>
      <c r="E17" s="421">
        <f>+E15+E16</f>
        <v>153699781</v>
      </c>
      <c r="F17" s="412">
        <f>+F15-F16</f>
        <v>0</v>
      </c>
      <c r="G17" s="421">
        <f>+G15+G16</f>
        <v>153319018</v>
      </c>
      <c r="H17" s="421">
        <f>+H15+H16</f>
        <v>0</v>
      </c>
      <c r="I17" s="421">
        <f>+I15+I16</f>
        <v>151226772</v>
      </c>
      <c r="J17" s="422">
        <f>+J15+J16</f>
        <v>149903388</v>
      </c>
      <c r="K17" s="403"/>
    </row>
    <row r="18" spans="1:11" ht="15" customHeight="1">
      <c r="A18" s="407">
        <v>9</v>
      </c>
      <c r="B18" s="408" t="s">
        <v>1718</v>
      </c>
      <c r="C18" s="409" t="s">
        <v>1715</v>
      </c>
      <c r="D18" s="410">
        <v>0</v>
      </c>
      <c r="E18" s="412">
        <v>0</v>
      </c>
      <c r="F18" s="412">
        <v>0</v>
      </c>
      <c r="G18" s="412">
        <v>0</v>
      </c>
      <c r="H18" s="412">
        <v>0</v>
      </c>
      <c r="I18" s="1062"/>
      <c r="J18" s="416">
        <v>0</v>
      </c>
      <c r="K18" s="403"/>
    </row>
    <row r="19" spans="1:11" ht="24" customHeight="1">
      <c r="A19" s="407">
        <v>10</v>
      </c>
      <c r="B19" s="423" t="s">
        <v>1719</v>
      </c>
      <c r="C19" s="409" t="s">
        <v>1715</v>
      </c>
      <c r="D19" s="410">
        <v>0</v>
      </c>
      <c r="E19" s="412">
        <v>0</v>
      </c>
      <c r="F19" s="412">
        <v>0</v>
      </c>
      <c r="G19" s="412">
        <v>0</v>
      </c>
      <c r="H19" s="412">
        <v>0</v>
      </c>
      <c r="I19" s="1062"/>
      <c r="J19" s="416">
        <v>0</v>
      </c>
      <c r="K19" s="403"/>
    </row>
    <row r="20" spans="1:11" ht="15" customHeight="1">
      <c r="A20" s="407">
        <v>11</v>
      </c>
      <c r="B20" s="408" t="s">
        <v>1720</v>
      </c>
      <c r="C20" s="409" t="s">
        <v>1715</v>
      </c>
      <c r="D20" s="410">
        <v>0</v>
      </c>
      <c r="E20" s="412">
        <v>0</v>
      </c>
      <c r="F20" s="412">
        <v>0</v>
      </c>
      <c r="G20" s="412">
        <v>0</v>
      </c>
      <c r="H20" s="412">
        <v>0</v>
      </c>
      <c r="I20" s="1062"/>
      <c r="J20" s="416">
        <v>0</v>
      </c>
      <c r="K20" s="403"/>
    </row>
    <row r="21" spans="1:11" ht="15" customHeight="1">
      <c r="A21" s="407">
        <v>12</v>
      </c>
      <c r="B21" s="408" t="s">
        <v>1721</v>
      </c>
      <c r="C21" s="409" t="s">
        <v>1715</v>
      </c>
      <c r="D21" s="410">
        <v>0</v>
      </c>
      <c r="E21" s="412">
        <v>0</v>
      </c>
      <c r="F21" s="412">
        <v>0</v>
      </c>
      <c r="G21" s="412">
        <v>0</v>
      </c>
      <c r="H21" s="412">
        <v>0</v>
      </c>
      <c r="I21" s="1062"/>
      <c r="J21" s="416">
        <v>0</v>
      </c>
      <c r="K21" s="403"/>
    </row>
    <row r="22" spans="1:11" ht="15" customHeight="1">
      <c r="A22" s="407">
        <v>13</v>
      </c>
      <c r="B22" s="408" t="s">
        <v>1722</v>
      </c>
      <c r="C22" s="409" t="s">
        <v>1715</v>
      </c>
      <c r="D22" s="410">
        <f aca="true" t="shared" si="2" ref="D22:J22">+D21</f>
        <v>0</v>
      </c>
      <c r="E22" s="412">
        <f t="shared" si="2"/>
        <v>0</v>
      </c>
      <c r="F22" s="412">
        <f t="shared" si="2"/>
        <v>0</v>
      </c>
      <c r="G22" s="412">
        <f t="shared" si="2"/>
        <v>0</v>
      </c>
      <c r="H22" s="412">
        <f t="shared" si="2"/>
        <v>0</v>
      </c>
      <c r="I22" s="1062"/>
      <c r="J22" s="416">
        <f t="shared" si="2"/>
        <v>0</v>
      </c>
      <c r="K22" s="403"/>
    </row>
    <row r="23" spans="1:11" ht="15" customHeight="1">
      <c r="A23" s="407">
        <v>14</v>
      </c>
      <c r="B23" s="408" t="s">
        <v>1723</v>
      </c>
      <c r="C23" s="409" t="s">
        <v>1715</v>
      </c>
      <c r="D23" s="420">
        <f>+D22+D17</f>
        <v>1215844</v>
      </c>
      <c r="E23" s="421">
        <f>+E17</f>
        <v>153699781</v>
      </c>
      <c r="F23" s="412">
        <f>+F22</f>
        <v>0</v>
      </c>
      <c r="G23" s="421">
        <f>+G17</f>
        <v>153319018</v>
      </c>
      <c r="H23" s="421">
        <f>+H17</f>
        <v>0</v>
      </c>
      <c r="I23" s="421">
        <f>+I17</f>
        <v>151226772</v>
      </c>
      <c r="J23" s="422">
        <f>+J17</f>
        <v>149903388</v>
      </c>
      <c r="K23" s="403"/>
    </row>
    <row r="24" spans="1:12" ht="15" customHeight="1">
      <c r="A24" s="407">
        <v>15</v>
      </c>
      <c r="B24" s="408" t="s">
        <v>1724</v>
      </c>
      <c r="C24" s="409" t="s">
        <v>1725</v>
      </c>
      <c r="D24" s="410">
        <v>9556</v>
      </c>
      <c r="E24" s="425">
        <v>10881.14</v>
      </c>
      <c r="F24" s="412">
        <f>+F23</f>
        <v>0</v>
      </c>
      <c r="G24" s="425">
        <v>10877.63</v>
      </c>
      <c r="H24" s="412">
        <f>+H23</f>
        <v>0</v>
      </c>
      <c r="I24" s="1062">
        <v>10868.03</v>
      </c>
      <c r="J24" s="426">
        <v>10850.86</v>
      </c>
      <c r="K24" s="403"/>
      <c r="L24" s="427"/>
    </row>
    <row r="25" spans="1:11" ht="15" customHeight="1">
      <c r="A25" s="407">
        <v>16</v>
      </c>
      <c r="B25" s="408" t="s">
        <v>1726</v>
      </c>
      <c r="C25" s="409" t="s">
        <v>1428</v>
      </c>
      <c r="D25" s="428"/>
      <c r="E25" s="429"/>
      <c r="F25" s="430"/>
      <c r="G25" s="429"/>
      <c r="H25" s="430"/>
      <c r="I25" s="1064"/>
      <c r="J25" s="431"/>
      <c r="K25" s="403"/>
    </row>
    <row r="26" spans="1:12" ht="15" customHeight="1">
      <c r="A26" s="407">
        <v>17</v>
      </c>
      <c r="B26" s="408" t="s">
        <v>1727</v>
      </c>
      <c r="C26" s="409" t="s">
        <v>1728</v>
      </c>
      <c r="D26" s="410">
        <f>+D23/D14</f>
        <v>22632.985852568876</v>
      </c>
      <c r="E26" s="432">
        <f aca="true" t="shared" si="3" ref="E26:J26">+E23/E14*1000</f>
        <v>29113.126345087072</v>
      </c>
      <c r="F26" s="432" t="e">
        <f t="shared" si="3"/>
        <v>#DIV/0!</v>
      </c>
      <c r="G26" s="432">
        <f t="shared" si="3"/>
        <v>29068.622257546005</v>
      </c>
      <c r="H26" s="432" t="e">
        <f t="shared" si="3"/>
        <v>#DIV/0!</v>
      </c>
      <c r="I26" s="432">
        <f t="shared" si="3"/>
        <v>29017.279301927945</v>
      </c>
      <c r="J26" s="433">
        <f t="shared" si="3"/>
        <v>29176.53722230851</v>
      </c>
      <c r="K26" s="403"/>
      <c r="L26" s="434"/>
    </row>
    <row r="27" spans="1:11" ht="15" customHeight="1">
      <c r="A27" s="435"/>
      <c r="B27" s="436"/>
      <c r="C27" s="437"/>
      <c r="D27" s="438"/>
      <c r="E27" s="438"/>
      <c r="F27" s="438"/>
      <c r="G27" s="438"/>
      <c r="H27" s="438"/>
      <c r="I27" s="438"/>
      <c r="J27" s="439"/>
      <c r="K27" s="403"/>
    </row>
    <row r="28" spans="1:11" ht="15" customHeight="1">
      <c r="A28" s="440"/>
      <c r="B28" s="1128" t="s">
        <v>1371</v>
      </c>
      <c r="C28" s="1128"/>
      <c r="D28" s="1128"/>
      <c r="E28" s="1128"/>
      <c r="F28" s="1128"/>
      <c r="G28" s="441">
        <f>+(E26+G26+J26)/3</f>
        <v>29119.42860831386</v>
      </c>
      <c r="H28" s="395"/>
      <c r="I28" s="395"/>
      <c r="J28" s="442"/>
      <c r="K28" s="403"/>
    </row>
    <row r="29" spans="1:11" ht="18.75" customHeight="1">
      <c r="A29" s="440"/>
      <c r="B29" s="1129" t="s">
        <v>1729</v>
      </c>
      <c r="C29" s="1130"/>
      <c r="D29" s="1130"/>
      <c r="E29" s="1130"/>
      <c r="F29" s="1130"/>
      <c r="G29" s="395"/>
      <c r="H29" s="395"/>
      <c r="I29" s="395"/>
      <c r="J29" s="443"/>
      <c r="K29" s="403"/>
    </row>
    <row r="30" spans="1:11" ht="18.75" customHeight="1">
      <c r="A30" s="440"/>
      <c r="B30" s="395" t="s">
        <v>1730</v>
      </c>
      <c r="C30" s="395"/>
      <c r="D30" s="209"/>
      <c r="E30" s="209"/>
      <c r="F30" s="209"/>
      <c r="G30" s="444"/>
      <c r="H30" s="444"/>
      <c r="I30" s="444"/>
      <c r="J30" s="445"/>
      <c r="K30" s="403"/>
    </row>
    <row r="31" spans="1:11" ht="15" customHeight="1">
      <c r="A31" s="440"/>
      <c r="B31" s="395"/>
      <c r="C31" s="395"/>
      <c r="D31" s="209"/>
      <c r="E31" s="209"/>
      <c r="F31" s="209"/>
      <c r="G31" s="444"/>
      <c r="H31" s="446" t="s">
        <v>1731</v>
      </c>
      <c r="I31" s="446"/>
      <c r="J31" s="445"/>
      <c r="K31" s="403"/>
    </row>
    <row r="32" spans="1:11" ht="15" customHeight="1">
      <c r="A32" s="447"/>
      <c r="B32" s="448"/>
      <c r="C32" s="448"/>
      <c r="D32" s="449"/>
      <c r="E32" s="449"/>
      <c r="F32" s="449"/>
      <c r="G32" s="450"/>
      <c r="H32" s="450"/>
      <c r="I32" s="450"/>
      <c r="J32" s="451" t="s">
        <v>1731</v>
      </c>
      <c r="K32" s="403"/>
    </row>
    <row r="33" spans="1:5" ht="15" customHeight="1">
      <c r="A33" s="209"/>
      <c r="B33" s="209"/>
      <c r="C33" s="209"/>
      <c r="D33" s="209"/>
      <c r="E33" s="209"/>
    </row>
  </sheetData>
  <sheetProtection/>
  <mergeCells count="5">
    <mergeCell ref="H2:J2"/>
    <mergeCell ref="B3:G3"/>
    <mergeCell ref="C4:G4"/>
    <mergeCell ref="B28:F28"/>
    <mergeCell ref="B29:F29"/>
  </mergeCells>
  <printOptions/>
  <pageMargins left="0.75" right="0.75" top="1" bottom="1" header="0.5" footer="0.5"/>
  <pageSetup horizontalDpi="600" verticalDpi="600" orientation="portrait" scale="65" r:id="rId1"/>
</worksheet>
</file>

<file path=xl/worksheets/sheet30.xml><?xml version="1.0" encoding="utf-8"?>
<worksheet xmlns="http://schemas.openxmlformats.org/spreadsheetml/2006/main" xmlns:r="http://schemas.openxmlformats.org/officeDocument/2006/relationships">
  <dimension ref="A1:AD51"/>
  <sheetViews>
    <sheetView zoomScalePageLayoutView="0" workbookViewId="0" topLeftCell="A17">
      <selection activeCell="Q42" sqref="Q42"/>
    </sheetView>
  </sheetViews>
  <sheetFormatPr defaultColWidth="9.33203125" defaultRowHeight="12.75"/>
  <cols>
    <col min="1" max="1" width="4.5" style="90" customWidth="1"/>
    <col min="2" max="2" width="9.83203125" style="90" customWidth="1"/>
    <col min="3" max="3" width="12.33203125" style="90" customWidth="1"/>
    <col min="4" max="4" width="13" style="90" customWidth="1"/>
    <col min="5" max="5" width="12.33203125" style="90" customWidth="1"/>
    <col min="6" max="6" width="10.83203125" style="90" customWidth="1"/>
    <col min="7" max="7" width="11.66015625" style="90" customWidth="1"/>
    <col min="8" max="8" width="8.83203125" style="90" customWidth="1"/>
    <col min="9" max="9" width="11.66015625" style="90" customWidth="1"/>
    <col min="10" max="10" width="9.33203125" style="90" customWidth="1"/>
    <col min="11" max="11" width="9.16015625" style="90" customWidth="1"/>
    <col min="12" max="12" width="10.5" style="90" customWidth="1"/>
    <col min="13" max="13" width="19.16015625" style="90" customWidth="1"/>
    <col min="14" max="14" width="13.83203125" style="90" hidden="1" customWidth="1"/>
    <col min="15" max="15" width="13.5" style="90" customWidth="1"/>
    <col min="16" max="16" width="12.66015625" style="90" customWidth="1"/>
    <col min="17" max="17" width="14.6601562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10" style="90" customWidth="1"/>
    <col min="24" max="24" width="8.5" style="90" customWidth="1"/>
    <col min="25" max="25" width="14" style="90" customWidth="1"/>
    <col min="26" max="26" width="16.66015625" style="90" customWidth="1"/>
    <col min="27" max="28" width="8.66015625" style="90" customWidth="1"/>
    <col min="29" max="29" width="13.66015625" style="90" customWidth="1"/>
    <col min="30" max="30" width="17.16015625" style="90" customWidth="1"/>
    <col min="31" max="16384" width="9.33203125" style="90" customWidth="1"/>
  </cols>
  <sheetData>
    <row r="1" spans="1:29" ht="21">
      <c r="A1" s="1308" t="s">
        <v>1231</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593"/>
      <c r="AB1" s="593"/>
      <c r="AC1" s="593"/>
    </row>
    <row r="2" spans="1:30" ht="60">
      <c r="A2" s="594" t="s">
        <v>1230</v>
      </c>
      <c r="B2" s="595" t="s">
        <v>1229</v>
      </c>
      <c r="C2" s="596"/>
      <c r="D2" s="1309" t="s">
        <v>1228</v>
      </c>
      <c r="E2" s="1310"/>
      <c r="F2" s="1310"/>
      <c r="G2" s="1311"/>
      <c r="H2" s="1309"/>
      <c r="I2" s="1311"/>
      <c r="J2" s="1312" t="s">
        <v>1227</v>
      </c>
      <c r="K2" s="1313"/>
      <c r="L2" s="1314"/>
      <c r="M2" s="597" t="s">
        <v>1226</v>
      </c>
      <c r="N2" s="597" t="s">
        <v>1225</v>
      </c>
      <c r="O2" s="598" t="s">
        <v>1224</v>
      </c>
      <c r="P2" s="598" t="s">
        <v>1223</v>
      </c>
      <c r="Q2" s="599" t="s">
        <v>1222</v>
      </c>
      <c r="R2" s="600" t="s">
        <v>1221</v>
      </c>
      <c r="S2" s="600" t="s">
        <v>1220</v>
      </c>
      <c r="T2" s="601" t="s">
        <v>1219</v>
      </c>
      <c r="U2" s="602" t="s">
        <v>1218</v>
      </c>
      <c r="V2" s="602" t="s">
        <v>1217</v>
      </c>
      <c r="W2" s="603" t="s">
        <v>1216</v>
      </c>
      <c r="X2" s="603" t="s">
        <v>1215</v>
      </c>
      <c r="Y2" s="603" t="s">
        <v>1214</v>
      </c>
      <c r="Z2" s="602" t="s">
        <v>1213</v>
      </c>
      <c r="AA2" s="603" t="s">
        <v>1212</v>
      </c>
      <c r="AB2" s="603" t="s">
        <v>1211</v>
      </c>
      <c r="AC2" s="604" t="s">
        <v>1763</v>
      </c>
      <c r="AD2" s="605" t="s">
        <v>1837</v>
      </c>
    </row>
    <row r="3" spans="1:30" ht="45">
      <c r="A3" s="606"/>
      <c r="B3" s="606"/>
      <c r="C3" s="606"/>
      <c r="D3" s="607" t="s">
        <v>1203</v>
      </c>
      <c r="E3" s="607" t="s">
        <v>1208</v>
      </c>
      <c r="F3" s="607" t="s">
        <v>1207</v>
      </c>
      <c r="G3" s="608" t="s">
        <v>1206</v>
      </c>
      <c r="H3" s="607" t="s">
        <v>1205</v>
      </c>
      <c r="I3" s="608" t="s">
        <v>1204</v>
      </c>
      <c r="J3" s="607" t="s">
        <v>1203</v>
      </c>
      <c r="K3" s="607" t="s">
        <v>1202</v>
      </c>
      <c r="L3" s="607"/>
      <c r="M3" s="602"/>
      <c r="N3" s="602"/>
      <c r="O3" s="609"/>
      <c r="P3" s="610"/>
      <c r="Q3" s="611"/>
      <c r="R3" s="611"/>
      <c r="S3" s="611"/>
      <c r="T3" s="612"/>
      <c r="U3" s="613"/>
      <c r="V3" s="613"/>
      <c r="W3" s="613"/>
      <c r="X3" s="611"/>
      <c r="Y3" s="611"/>
      <c r="Z3" s="611"/>
      <c r="AA3" s="611"/>
      <c r="AB3" s="614"/>
      <c r="AC3" s="614"/>
      <c r="AD3" s="90">
        <v>298300000</v>
      </c>
    </row>
    <row r="4" spans="1:29" ht="15">
      <c r="A4" s="1299">
        <v>1</v>
      </c>
      <c r="B4" s="1300" t="s">
        <v>1838</v>
      </c>
      <c r="C4" s="615" t="s">
        <v>1189</v>
      </c>
      <c r="D4" s="616">
        <v>10038.975</v>
      </c>
      <c r="E4" s="616"/>
      <c r="F4" s="617">
        <f aca="true" t="shared" si="0" ref="F4:F32">ROUND((2646*W4*100)/(U4*(100-R4)),2)</f>
        <v>3.3</v>
      </c>
      <c r="G4" s="617">
        <f aca="true" t="shared" si="1" ref="G4:G39">(Q4*F4)-Y4</f>
        <v>496000</v>
      </c>
      <c r="H4" s="617">
        <f aca="true" t="shared" si="2" ref="H4:H39">ROUND((S4*W4*100)/(U4*95),2)</f>
        <v>3.17</v>
      </c>
      <c r="I4" s="617">
        <f aca="true" t="shared" si="3" ref="I4:I39">(Q4*H4)-Y4</f>
        <v>-793600</v>
      </c>
      <c r="J4" s="616">
        <v>2715893</v>
      </c>
      <c r="K4" s="617"/>
      <c r="L4" s="617">
        <f>J4+K4</f>
        <v>2715893</v>
      </c>
      <c r="M4" s="618">
        <f>D4*J4+E4*K4</f>
        <v>27264781929.675</v>
      </c>
      <c r="N4" s="618">
        <f>H4*J4+I4*K4</f>
        <v>8609380.81</v>
      </c>
      <c r="O4" s="614">
        <v>10574610</v>
      </c>
      <c r="P4" s="614">
        <v>654610</v>
      </c>
      <c r="Q4" s="619">
        <f>O4-P4</f>
        <v>9920000</v>
      </c>
      <c r="R4" s="620">
        <f aca="true" t="shared" si="4" ref="R4:R39">P4*100/O4</f>
        <v>6.1903937828440005</v>
      </c>
      <c r="S4" s="620">
        <f aca="true" t="shared" si="5" ref="S4:S39">ROUND((M4)/O4,2)</f>
        <v>2578.33</v>
      </c>
      <c r="T4" s="621"/>
      <c r="U4" s="622">
        <f aca="true" t="shared" si="6" ref="U4:U39">M4/L4</f>
        <v>10038.975</v>
      </c>
      <c r="V4" s="623">
        <v>31858419</v>
      </c>
      <c r="W4" s="624">
        <f aca="true" t="shared" si="7" ref="W4:W39">ROUND(V4/L4,3)</f>
        <v>11.73</v>
      </c>
      <c r="X4" s="622">
        <f aca="true" t="shared" si="8" ref="X4:X39">ROUND((2646*W4*100)/(U4*95),2)</f>
        <v>3.25</v>
      </c>
      <c r="Y4" s="625">
        <f aca="true" t="shared" si="9" ref="Y4:Y39">X4*Q4</f>
        <v>32240000</v>
      </c>
      <c r="Z4" s="626">
        <f aca="true" t="shared" si="10" ref="Z4:Z39">Y4-V4</f>
        <v>381581</v>
      </c>
      <c r="AA4" s="611"/>
      <c r="AB4" s="614"/>
      <c r="AC4" s="614"/>
    </row>
    <row r="5" spans="1:29" ht="15">
      <c r="A5" s="1315"/>
      <c r="B5" s="1316"/>
      <c r="C5" s="615" t="s">
        <v>1188</v>
      </c>
      <c r="D5" s="616">
        <v>10058.326</v>
      </c>
      <c r="E5" s="616"/>
      <c r="F5" s="617">
        <f t="shared" si="0"/>
        <v>3.3</v>
      </c>
      <c r="G5" s="617">
        <f t="shared" si="1"/>
        <v>496500</v>
      </c>
      <c r="H5" s="617">
        <f t="shared" si="2"/>
        <v>3.17</v>
      </c>
      <c r="I5" s="617">
        <f t="shared" si="3"/>
        <v>-794400</v>
      </c>
      <c r="J5" s="616">
        <v>2712474</v>
      </c>
      <c r="K5" s="617"/>
      <c r="L5" s="617">
        <f>J5+K5</f>
        <v>2712474</v>
      </c>
      <c r="M5" s="618">
        <f>D5*J5+E5*K5</f>
        <v>27282947758.524</v>
      </c>
      <c r="N5" s="618">
        <f>H5*L5</f>
        <v>8598542.58</v>
      </c>
      <c r="O5" s="614">
        <v>10584090</v>
      </c>
      <c r="P5" s="614">
        <v>654090</v>
      </c>
      <c r="Q5" s="619">
        <f>O5-P5</f>
        <v>9930000</v>
      </c>
      <c r="R5" s="620">
        <f t="shared" si="4"/>
        <v>6.17993611165438</v>
      </c>
      <c r="S5" s="620">
        <f t="shared" si="5"/>
        <v>2577.73</v>
      </c>
      <c r="T5" s="627"/>
      <c r="U5" s="622">
        <f t="shared" si="6"/>
        <v>10058.326</v>
      </c>
      <c r="V5" s="613">
        <v>31879680</v>
      </c>
      <c r="W5" s="624">
        <f t="shared" si="7"/>
        <v>11.753</v>
      </c>
      <c r="X5" s="622">
        <f t="shared" si="8"/>
        <v>3.25</v>
      </c>
      <c r="Y5" s="625">
        <f t="shared" si="9"/>
        <v>32272500</v>
      </c>
      <c r="Z5" s="626">
        <f t="shared" si="10"/>
        <v>392820</v>
      </c>
      <c r="AA5" s="611"/>
      <c r="AB5" s="614"/>
      <c r="AC5" s="614"/>
    </row>
    <row r="6" spans="1:30" ht="15">
      <c r="A6" s="1302"/>
      <c r="B6" s="1301"/>
      <c r="C6" s="615" t="s">
        <v>1187</v>
      </c>
      <c r="D6" s="616"/>
      <c r="E6" s="616"/>
      <c r="F6" s="617">
        <f t="shared" si="0"/>
        <v>3.3</v>
      </c>
      <c r="G6" s="617">
        <f t="shared" si="1"/>
        <v>992500</v>
      </c>
      <c r="H6" s="617">
        <f t="shared" si="2"/>
        <v>3.17</v>
      </c>
      <c r="I6" s="617">
        <f t="shared" si="3"/>
        <v>-1588000</v>
      </c>
      <c r="J6" s="616"/>
      <c r="K6" s="617"/>
      <c r="L6" s="628">
        <f>SUM(L4:L5)</f>
        <v>5428367</v>
      </c>
      <c r="M6" s="629">
        <f>SUM(M4:M5)</f>
        <v>54547729688.199</v>
      </c>
      <c r="N6" s="618"/>
      <c r="O6" s="630">
        <v>21158700</v>
      </c>
      <c r="P6" s="630">
        <v>1308700</v>
      </c>
      <c r="Q6" s="619">
        <f aca="true" t="shared" si="11" ref="Q6:Q19">O6-P6</f>
        <v>19850000</v>
      </c>
      <c r="R6" s="620">
        <f t="shared" si="4"/>
        <v>6.1851626045078385</v>
      </c>
      <c r="S6" s="631">
        <f t="shared" si="5"/>
        <v>2578.03</v>
      </c>
      <c r="T6" s="632"/>
      <c r="U6" s="622">
        <f t="shared" si="6"/>
        <v>10048.644405987841</v>
      </c>
      <c r="V6" s="633">
        <f>V4+V5</f>
        <v>63738099</v>
      </c>
      <c r="W6" s="624">
        <f t="shared" si="7"/>
        <v>11.742</v>
      </c>
      <c r="X6" s="622">
        <f t="shared" si="8"/>
        <v>3.25</v>
      </c>
      <c r="Y6" s="623">
        <f t="shared" si="9"/>
        <v>64512500</v>
      </c>
      <c r="Z6" s="633">
        <f t="shared" si="10"/>
        <v>774401</v>
      </c>
      <c r="AA6" s="634">
        <f>O6*100/(780000*AB6)</f>
        <v>90.42179487179487</v>
      </c>
      <c r="AB6" s="614">
        <v>30</v>
      </c>
      <c r="AC6" s="614">
        <v>89370833</v>
      </c>
      <c r="AD6" s="90">
        <v>24858333.33</v>
      </c>
    </row>
    <row r="7" spans="1:29" ht="15">
      <c r="A7" s="1299">
        <v>2</v>
      </c>
      <c r="B7" s="1303" t="s">
        <v>1839</v>
      </c>
      <c r="C7" s="615" t="s">
        <v>1189</v>
      </c>
      <c r="D7" s="635">
        <v>10037.562</v>
      </c>
      <c r="E7" s="635">
        <v>10039.328</v>
      </c>
      <c r="F7" s="617">
        <f t="shared" si="0"/>
        <v>3.28</v>
      </c>
      <c r="G7" s="617">
        <f t="shared" si="1"/>
        <v>304259.9999999963</v>
      </c>
      <c r="H7" s="617">
        <f t="shared" si="2"/>
        <v>3.15</v>
      </c>
      <c r="I7" s="617">
        <f t="shared" si="3"/>
        <v>-1014200</v>
      </c>
      <c r="J7" s="635">
        <v>2737111</v>
      </c>
      <c r="K7" s="636">
        <v>13147</v>
      </c>
      <c r="L7" s="637">
        <f>+J7+K7</f>
        <v>2750258</v>
      </c>
      <c r="M7" s="636">
        <f>D7*J7+E7*K7</f>
        <v>27605908408.598</v>
      </c>
      <c r="N7" s="636">
        <f>H7*L7</f>
        <v>8663312.7</v>
      </c>
      <c r="O7" s="613">
        <v>10764260</v>
      </c>
      <c r="P7" s="638">
        <v>622260</v>
      </c>
      <c r="Q7" s="619">
        <f t="shared" si="11"/>
        <v>10142000</v>
      </c>
      <c r="R7" s="620">
        <f t="shared" si="4"/>
        <v>5.780796822076018</v>
      </c>
      <c r="S7" s="620">
        <f t="shared" si="5"/>
        <v>2564.59</v>
      </c>
      <c r="T7" s="1306"/>
      <c r="U7" s="622">
        <f t="shared" si="6"/>
        <v>10037.570441972353</v>
      </c>
      <c r="V7" s="613">
        <v>32236315</v>
      </c>
      <c r="W7" s="624">
        <f t="shared" si="7"/>
        <v>11.721</v>
      </c>
      <c r="X7" s="622">
        <f t="shared" si="8"/>
        <v>3.25</v>
      </c>
      <c r="Y7" s="625">
        <f t="shared" si="9"/>
        <v>32961500</v>
      </c>
      <c r="Z7" s="639">
        <f t="shared" si="10"/>
        <v>725185</v>
      </c>
      <c r="AA7" s="634" t="e">
        <f aca="true" t="shared" si="12" ref="AA7:AA39">O7*100/(780000*AB7)</f>
        <v>#DIV/0!</v>
      </c>
      <c r="AB7" s="613"/>
      <c r="AC7" s="613"/>
    </row>
    <row r="8" spans="1:29" ht="15">
      <c r="A8" s="1302"/>
      <c r="B8" s="1304"/>
      <c r="C8" s="615" t="s">
        <v>1188</v>
      </c>
      <c r="D8" s="635">
        <v>10066.48</v>
      </c>
      <c r="E8" s="635">
        <v>10038.08</v>
      </c>
      <c r="F8" s="617">
        <f t="shared" si="0"/>
        <v>3.29</v>
      </c>
      <c r="G8" s="617">
        <f t="shared" si="1"/>
        <v>432719.43200000376</v>
      </c>
      <c r="H8" s="617">
        <f t="shared" si="2"/>
        <v>3.11</v>
      </c>
      <c r="I8" s="617">
        <f t="shared" si="3"/>
        <v>-1514518.012000002</v>
      </c>
      <c r="J8" s="635">
        <v>2892244</v>
      </c>
      <c r="K8" s="635">
        <v>1138</v>
      </c>
      <c r="L8" s="637">
        <f>+J8+K8</f>
        <v>2893382</v>
      </c>
      <c r="M8" s="636">
        <f>D8*J8+E8*K8</f>
        <v>29126139716.16</v>
      </c>
      <c r="N8" s="636">
        <f>H8*L8</f>
        <v>8998418.02</v>
      </c>
      <c r="O8" s="613">
        <v>11508320</v>
      </c>
      <c r="P8" s="638">
        <v>690334.2</v>
      </c>
      <c r="Q8" s="619">
        <f t="shared" si="11"/>
        <v>10817985.8</v>
      </c>
      <c r="R8" s="620">
        <f t="shared" si="4"/>
        <v>5.998566254674879</v>
      </c>
      <c r="S8" s="620">
        <f t="shared" si="5"/>
        <v>2530.88</v>
      </c>
      <c r="T8" s="1307"/>
      <c r="U8" s="622">
        <f t="shared" si="6"/>
        <v>10066.468829957468</v>
      </c>
      <c r="V8" s="613">
        <v>34011589</v>
      </c>
      <c r="W8" s="624">
        <f t="shared" si="7"/>
        <v>11.755</v>
      </c>
      <c r="X8" s="622">
        <f t="shared" si="8"/>
        <v>3.25</v>
      </c>
      <c r="Y8" s="625">
        <f t="shared" si="9"/>
        <v>35158453.85</v>
      </c>
      <c r="Z8" s="639">
        <f t="shared" si="10"/>
        <v>1146864.8500000015</v>
      </c>
      <c r="AA8" s="634" t="e">
        <f t="shared" si="12"/>
        <v>#DIV/0!</v>
      </c>
      <c r="AB8" s="613"/>
      <c r="AC8" s="613"/>
    </row>
    <row r="9" spans="1:30" ht="15">
      <c r="A9" s="640"/>
      <c r="B9" s="641"/>
      <c r="C9" s="615" t="s">
        <v>1187</v>
      </c>
      <c r="D9" s="642"/>
      <c r="E9" s="642"/>
      <c r="F9" s="617">
        <f t="shared" si="0"/>
        <v>3.29</v>
      </c>
      <c r="G9" s="617">
        <f t="shared" si="1"/>
        <v>826399.4319999963</v>
      </c>
      <c r="H9" s="617">
        <f t="shared" si="2"/>
        <v>3.17</v>
      </c>
      <c r="I9" s="617">
        <f t="shared" si="3"/>
        <v>-1652798.8640000075</v>
      </c>
      <c r="J9" s="642"/>
      <c r="K9" s="635"/>
      <c r="L9" s="643">
        <f>SUM(L7:L8)</f>
        <v>5643640</v>
      </c>
      <c r="M9" s="644">
        <f>SUM(M7:M8)</f>
        <v>56732048124.757996</v>
      </c>
      <c r="N9" s="636"/>
      <c r="O9" s="623">
        <v>21972580</v>
      </c>
      <c r="P9" s="630">
        <v>1312594.2</v>
      </c>
      <c r="Q9" s="645">
        <v>20659985.8</v>
      </c>
      <c r="R9" s="620">
        <f t="shared" si="4"/>
        <v>5.9737827783537485</v>
      </c>
      <c r="S9" s="631">
        <f t="shared" si="5"/>
        <v>2581.95</v>
      </c>
      <c r="T9" s="646"/>
      <c r="U9" s="622">
        <f t="shared" si="6"/>
        <v>10052.386070826275</v>
      </c>
      <c r="V9" s="633">
        <f>V7+V8</f>
        <v>66247904</v>
      </c>
      <c r="W9" s="624">
        <f t="shared" si="7"/>
        <v>11.739</v>
      </c>
      <c r="X9" s="622">
        <f t="shared" si="8"/>
        <v>3.25</v>
      </c>
      <c r="Y9" s="623">
        <f t="shared" si="9"/>
        <v>67144953.85000001</v>
      </c>
      <c r="Z9" s="633">
        <f t="shared" si="10"/>
        <v>897049.8500000089</v>
      </c>
      <c r="AA9" s="634">
        <f t="shared" si="12"/>
        <v>90.87088502894954</v>
      </c>
      <c r="AB9" s="613">
        <v>31</v>
      </c>
      <c r="AC9" s="613">
        <v>92003287</v>
      </c>
      <c r="AD9" s="90">
        <v>24858333.33</v>
      </c>
    </row>
    <row r="10" spans="1:29" ht="15">
      <c r="A10" s="1299">
        <v>3</v>
      </c>
      <c r="B10" s="1303" t="s">
        <v>1840</v>
      </c>
      <c r="C10" s="615" t="s">
        <v>1189</v>
      </c>
      <c r="D10" s="647">
        <v>10072.207</v>
      </c>
      <c r="E10" s="647">
        <v>10018.322</v>
      </c>
      <c r="F10" s="617">
        <f t="shared" si="0"/>
        <v>3.3</v>
      </c>
      <c r="G10" s="617">
        <f t="shared" si="1"/>
        <v>304020</v>
      </c>
      <c r="H10" s="617">
        <f t="shared" si="2"/>
        <v>3.16</v>
      </c>
      <c r="I10" s="617">
        <f t="shared" si="3"/>
        <v>-1114740</v>
      </c>
      <c r="J10" s="647">
        <v>2729896</v>
      </c>
      <c r="K10" s="635">
        <v>6970</v>
      </c>
      <c r="L10" s="637">
        <f aca="true" t="shared" si="13" ref="L10:L16">+J10+K10</f>
        <v>2736866</v>
      </c>
      <c r="M10" s="636">
        <f>D10*J10+E10*K10</f>
        <v>27565905304.812</v>
      </c>
      <c r="N10" s="636">
        <f>H10*L10</f>
        <v>8648496.56</v>
      </c>
      <c r="O10" s="613">
        <v>10783100</v>
      </c>
      <c r="P10" s="638">
        <v>649100</v>
      </c>
      <c r="Q10" s="619">
        <f t="shared" si="11"/>
        <v>10134000</v>
      </c>
      <c r="R10" s="620">
        <f t="shared" si="4"/>
        <v>6.019604751880257</v>
      </c>
      <c r="S10" s="620">
        <f t="shared" si="5"/>
        <v>2556.4</v>
      </c>
      <c r="T10" s="1306"/>
      <c r="U10" s="622">
        <f t="shared" si="6"/>
        <v>10072.069770610618</v>
      </c>
      <c r="V10" s="613">
        <v>32333240</v>
      </c>
      <c r="W10" s="624">
        <f t="shared" si="7"/>
        <v>11.814</v>
      </c>
      <c r="X10" s="622">
        <f t="shared" si="8"/>
        <v>3.27</v>
      </c>
      <c r="Y10" s="625">
        <f t="shared" si="9"/>
        <v>33138180</v>
      </c>
      <c r="Z10" s="639">
        <f t="shared" si="10"/>
        <v>804940</v>
      </c>
      <c r="AA10" s="634" t="e">
        <f t="shared" si="12"/>
        <v>#DIV/0!</v>
      </c>
      <c r="AB10" s="613"/>
      <c r="AC10" s="613"/>
    </row>
    <row r="11" spans="1:29" ht="15">
      <c r="A11" s="1302"/>
      <c r="B11" s="1304"/>
      <c r="C11" s="615" t="s">
        <v>1188</v>
      </c>
      <c r="D11" s="647">
        <v>10143.056</v>
      </c>
      <c r="E11" s="647">
        <v>0</v>
      </c>
      <c r="F11" s="617">
        <f t="shared" si="0"/>
        <v>3.31</v>
      </c>
      <c r="G11" s="617">
        <f t="shared" si="1"/>
        <v>341629.3040000014</v>
      </c>
      <c r="H11" s="617">
        <f t="shared" si="2"/>
        <v>3.16</v>
      </c>
      <c r="I11" s="617">
        <f t="shared" si="3"/>
        <v>-939480.5859999992</v>
      </c>
      <c r="J11" s="635">
        <v>2301648</v>
      </c>
      <c r="K11" s="635">
        <v>0</v>
      </c>
      <c r="L11" s="637">
        <f t="shared" si="13"/>
        <v>2301648</v>
      </c>
      <c r="M11" s="636">
        <f>D11*J11+E11*K11</f>
        <v>23345744556.288002</v>
      </c>
      <c r="N11" s="636">
        <f>H11*L11</f>
        <v>7273207.680000001</v>
      </c>
      <c r="O11" s="613">
        <v>9108110</v>
      </c>
      <c r="P11" s="638">
        <v>567377.4</v>
      </c>
      <c r="Q11" s="619">
        <f t="shared" si="11"/>
        <v>8540732.6</v>
      </c>
      <c r="R11" s="620">
        <f t="shared" si="4"/>
        <v>6.229364818826299</v>
      </c>
      <c r="S11" s="620">
        <f t="shared" si="5"/>
        <v>2563.18</v>
      </c>
      <c r="T11" s="1307"/>
      <c r="U11" s="622">
        <f t="shared" si="6"/>
        <v>10143.056</v>
      </c>
      <c r="V11" s="613">
        <v>27383333</v>
      </c>
      <c r="W11" s="624">
        <f t="shared" si="7"/>
        <v>11.897</v>
      </c>
      <c r="X11" s="622">
        <f t="shared" si="8"/>
        <v>3.27</v>
      </c>
      <c r="Y11" s="625">
        <f t="shared" si="9"/>
        <v>27928195.601999998</v>
      </c>
      <c r="Z11" s="639">
        <f t="shared" si="10"/>
        <v>544862.6019999981</v>
      </c>
      <c r="AA11" s="634" t="e">
        <f t="shared" si="12"/>
        <v>#DIV/0!</v>
      </c>
      <c r="AB11" s="613"/>
      <c r="AC11" s="613"/>
    </row>
    <row r="12" spans="1:30" ht="15">
      <c r="A12" s="640"/>
      <c r="B12" s="641"/>
      <c r="C12" s="615" t="s">
        <v>1187</v>
      </c>
      <c r="D12" s="648"/>
      <c r="E12" s="648"/>
      <c r="F12" s="617">
        <f t="shared" si="0"/>
        <v>3.31</v>
      </c>
      <c r="G12" s="617">
        <f t="shared" si="1"/>
        <v>746989.3039999977</v>
      </c>
      <c r="H12" s="617">
        <f t="shared" si="2"/>
        <v>3.16</v>
      </c>
      <c r="I12" s="617">
        <f t="shared" si="3"/>
        <v>-2054220.5859999955</v>
      </c>
      <c r="J12" s="635"/>
      <c r="K12" s="635"/>
      <c r="L12" s="637">
        <f>SUM(L10:L11)</f>
        <v>5038514</v>
      </c>
      <c r="M12" s="644">
        <f>SUM(M10:M11)</f>
        <v>50911649861.100006</v>
      </c>
      <c r="N12" s="636">
        <f>H12*L12</f>
        <v>15921704.24</v>
      </c>
      <c r="O12" s="623">
        <v>19891210</v>
      </c>
      <c r="P12" s="630">
        <v>1216477.4</v>
      </c>
      <c r="Q12" s="619">
        <f t="shared" si="11"/>
        <v>18674732.6</v>
      </c>
      <c r="R12" s="620">
        <f t="shared" si="4"/>
        <v>6.115653095010308</v>
      </c>
      <c r="S12" s="631">
        <f t="shared" si="5"/>
        <v>2559.5</v>
      </c>
      <c r="T12" s="649"/>
      <c r="U12" s="622">
        <f t="shared" si="6"/>
        <v>10104.497052325349</v>
      </c>
      <c r="V12" s="633">
        <f>V10+V11</f>
        <v>59716573</v>
      </c>
      <c r="W12" s="624">
        <f t="shared" si="7"/>
        <v>11.852</v>
      </c>
      <c r="X12" s="622">
        <f t="shared" si="8"/>
        <v>3.27</v>
      </c>
      <c r="Y12" s="623">
        <f t="shared" si="9"/>
        <v>61066375.602000006</v>
      </c>
      <c r="Z12" s="633">
        <f t="shared" si="10"/>
        <v>1349802.6020000055</v>
      </c>
      <c r="AA12" s="634">
        <f t="shared" si="12"/>
        <v>85.00517094017094</v>
      </c>
      <c r="AB12" s="613">
        <v>30</v>
      </c>
      <c r="AC12" s="613">
        <v>96991376</v>
      </c>
      <c r="AD12" s="90">
        <v>29608333.34</v>
      </c>
    </row>
    <row r="13" spans="1:29" ht="15">
      <c r="A13" s="1299">
        <v>4</v>
      </c>
      <c r="B13" s="1300" t="s">
        <v>1841</v>
      </c>
      <c r="C13" s="615" t="s">
        <v>1189</v>
      </c>
      <c r="D13" s="635">
        <v>10072.856</v>
      </c>
      <c r="E13" s="635">
        <v>10067.143</v>
      </c>
      <c r="F13" s="642">
        <f t="shared" si="0"/>
        <v>3.23</v>
      </c>
      <c r="G13" s="617">
        <f t="shared" si="1"/>
        <v>497392</v>
      </c>
      <c r="H13" s="650">
        <f t="shared" si="2"/>
        <v>3.18</v>
      </c>
      <c r="I13" s="617">
        <f t="shared" si="3"/>
        <v>142112</v>
      </c>
      <c r="J13" s="635">
        <v>2000549</v>
      </c>
      <c r="K13" s="635">
        <v>19313</v>
      </c>
      <c r="L13" s="637">
        <f t="shared" si="13"/>
        <v>2019862</v>
      </c>
      <c r="M13" s="636">
        <f>D13*J13+E13*K13</f>
        <v>20345668730.703</v>
      </c>
      <c r="N13" s="636">
        <f>H13*L13</f>
        <v>6423161.16</v>
      </c>
      <c r="O13" s="613">
        <v>7649430</v>
      </c>
      <c r="P13" s="638">
        <v>543830</v>
      </c>
      <c r="Q13" s="619">
        <f t="shared" si="11"/>
        <v>7105600</v>
      </c>
      <c r="R13" s="651">
        <f t="shared" si="4"/>
        <v>7.109418610275537</v>
      </c>
      <c r="S13" s="651">
        <f t="shared" si="5"/>
        <v>2659.76</v>
      </c>
      <c r="T13" s="1305"/>
      <c r="U13" s="622">
        <f t="shared" si="6"/>
        <v>10072.801374897394</v>
      </c>
      <c r="V13" s="613">
        <v>23082009</v>
      </c>
      <c r="W13" s="624">
        <f t="shared" si="7"/>
        <v>11.428</v>
      </c>
      <c r="X13" s="622">
        <f t="shared" si="8"/>
        <v>3.16</v>
      </c>
      <c r="Y13" s="625">
        <f t="shared" si="9"/>
        <v>22453696</v>
      </c>
      <c r="Z13" s="639">
        <f t="shared" si="10"/>
        <v>-628313</v>
      </c>
      <c r="AA13" s="634" t="e">
        <f t="shared" si="12"/>
        <v>#DIV/0!</v>
      </c>
      <c r="AB13" s="613"/>
      <c r="AC13" s="613"/>
    </row>
    <row r="14" spans="1:29" ht="15">
      <c r="A14" s="1302"/>
      <c r="B14" s="1301"/>
      <c r="C14" s="615" t="s">
        <v>1188</v>
      </c>
      <c r="D14" s="652">
        <v>10049.041</v>
      </c>
      <c r="E14" s="652">
        <v>10043.704</v>
      </c>
      <c r="F14" s="642">
        <f t="shared" si="0"/>
        <v>3.19</v>
      </c>
      <c r="G14" s="617">
        <f t="shared" si="1"/>
        <v>319314</v>
      </c>
      <c r="H14" s="650">
        <f t="shared" si="2"/>
        <v>3.13</v>
      </c>
      <c r="I14" s="617">
        <f t="shared" si="3"/>
        <v>-319314</v>
      </c>
      <c r="J14" s="635">
        <v>2910988</v>
      </c>
      <c r="K14" s="635">
        <v>33969</v>
      </c>
      <c r="L14" s="637">
        <f t="shared" si="13"/>
        <v>2944957</v>
      </c>
      <c r="M14" s="636">
        <f>D14*J14+E14*K14</f>
        <v>29593812343.684</v>
      </c>
      <c r="N14" s="636">
        <f>H14*L14</f>
        <v>9217715.41</v>
      </c>
      <c r="O14" s="613">
        <v>11296220</v>
      </c>
      <c r="P14" s="638">
        <v>652420</v>
      </c>
      <c r="Q14" s="619">
        <f t="shared" si="11"/>
        <v>10643800</v>
      </c>
      <c r="R14" s="651">
        <f t="shared" si="4"/>
        <v>5.7755603201779</v>
      </c>
      <c r="S14" s="651">
        <f t="shared" si="5"/>
        <v>2619.8</v>
      </c>
      <c r="T14" s="1305"/>
      <c r="U14" s="622">
        <f t="shared" si="6"/>
        <v>10048.979439660408</v>
      </c>
      <c r="V14" s="613">
        <v>33573918</v>
      </c>
      <c r="W14" s="624">
        <f t="shared" si="7"/>
        <v>11.4</v>
      </c>
      <c r="X14" s="622">
        <f t="shared" si="8"/>
        <v>3.16</v>
      </c>
      <c r="Y14" s="613">
        <f t="shared" si="9"/>
        <v>33634408</v>
      </c>
      <c r="Z14" s="613">
        <f t="shared" si="10"/>
        <v>60490</v>
      </c>
      <c r="AA14" s="634" t="e">
        <f t="shared" si="12"/>
        <v>#DIV/0!</v>
      </c>
      <c r="AB14" s="613"/>
      <c r="AC14" s="613"/>
    </row>
    <row r="15" spans="1:30" ht="15">
      <c r="A15" s="640"/>
      <c r="B15" s="653"/>
      <c r="C15" s="615" t="s">
        <v>1187</v>
      </c>
      <c r="D15" s="652"/>
      <c r="E15" s="652"/>
      <c r="F15" s="642">
        <f t="shared" si="0"/>
        <v>3.2</v>
      </c>
      <c r="G15" s="617">
        <f t="shared" si="1"/>
        <v>711984</v>
      </c>
      <c r="H15" s="650">
        <f t="shared" si="2"/>
        <v>3.15</v>
      </c>
      <c r="I15" s="617">
        <f t="shared" si="3"/>
        <v>-177996</v>
      </c>
      <c r="J15" s="635"/>
      <c r="K15" s="635"/>
      <c r="L15" s="637">
        <f>SUM(L13:L14)</f>
        <v>4964819</v>
      </c>
      <c r="M15" s="644">
        <f>SUM(M13:M14)</f>
        <v>49939481074.38699</v>
      </c>
      <c r="N15" s="636">
        <f>SUM(N13:N14)</f>
        <v>15640876.57</v>
      </c>
      <c r="O15" s="644">
        <v>18945650</v>
      </c>
      <c r="P15" s="630">
        <v>1196250</v>
      </c>
      <c r="Q15" s="619">
        <v>17799600</v>
      </c>
      <c r="R15" s="651">
        <f t="shared" si="4"/>
        <v>6.314114321757237</v>
      </c>
      <c r="S15" s="654">
        <f t="shared" si="5"/>
        <v>2635.93</v>
      </c>
      <c r="T15" s="655"/>
      <c r="U15" s="622">
        <f t="shared" si="6"/>
        <v>10058.67103602105</v>
      </c>
      <c r="V15" s="633">
        <f>V13+V14</f>
        <v>56655927</v>
      </c>
      <c r="W15" s="624">
        <f t="shared" si="7"/>
        <v>11.411</v>
      </c>
      <c r="X15" s="622">
        <f t="shared" si="8"/>
        <v>3.16</v>
      </c>
      <c r="Y15" s="656">
        <f t="shared" si="9"/>
        <v>56246736</v>
      </c>
      <c r="Z15" s="657">
        <f t="shared" si="10"/>
        <v>-409191</v>
      </c>
      <c r="AA15" s="634">
        <f t="shared" si="12"/>
        <v>78.3525641025641</v>
      </c>
      <c r="AB15" s="613">
        <v>31</v>
      </c>
      <c r="AC15" s="613">
        <v>89005070</v>
      </c>
      <c r="AD15" s="90">
        <v>26441666.66</v>
      </c>
    </row>
    <row r="16" spans="1:29" ht="15">
      <c r="A16" s="1299">
        <v>5</v>
      </c>
      <c r="B16" s="1303" t="s">
        <v>1842</v>
      </c>
      <c r="C16" s="615" t="s">
        <v>1189</v>
      </c>
      <c r="D16" s="652">
        <v>10723.18</v>
      </c>
      <c r="E16" s="652">
        <v>0</v>
      </c>
      <c r="F16" s="642">
        <f t="shared" si="0"/>
        <v>3.16</v>
      </c>
      <c r="G16" s="617">
        <f t="shared" si="1"/>
        <v>298368</v>
      </c>
      <c r="H16" s="650">
        <f t="shared" si="2"/>
        <v>3.19</v>
      </c>
      <c r="I16" s="617">
        <f t="shared" si="3"/>
        <v>596736</v>
      </c>
      <c r="J16" s="635">
        <v>2645466</v>
      </c>
      <c r="K16" s="636">
        <v>0</v>
      </c>
      <c r="L16" s="637">
        <f t="shared" si="13"/>
        <v>2645466</v>
      </c>
      <c r="M16" s="636">
        <f>D16*J16+E16*K16</f>
        <v>28367808101.88</v>
      </c>
      <c r="N16" s="636">
        <f>G16*K16+H16*L16</f>
        <v>8439036.54</v>
      </c>
      <c r="O16" s="613">
        <v>10546520</v>
      </c>
      <c r="P16" s="638">
        <v>600920</v>
      </c>
      <c r="Q16" s="619">
        <f t="shared" si="11"/>
        <v>9945600</v>
      </c>
      <c r="R16" s="651">
        <f t="shared" si="4"/>
        <v>5.697803635701634</v>
      </c>
      <c r="S16" s="651">
        <f t="shared" si="5"/>
        <v>2689.78</v>
      </c>
      <c r="T16" s="1306"/>
      <c r="U16" s="622">
        <f t="shared" si="6"/>
        <v>10723.18</v>
      </c>
      <c r="V16" s="613">
        <v>31917660</v>
      </c>
      <c r="W16" s="624">
        <f t="shared" si="7"/>
        <v>12.065</v>
      </c>
      <c r="X16" s="622">
        <f t="shared" si="8"/>
        <v>3.13</v>
      </c>
      <c r="Y16" s="656">
        <f t="shared" si="9"/>
        <v>31129728</v>
      </c>
      <c r="Z16" s="613">
        <f t="shared" si="10"/>
        <v>-787932</v>
      </c>
      <c r="AA16" s="634" t="e">
        <f t="shared" si="12"/>
        <v>#DIV/0!</v>
      </c>
      <c r="AB16" s="613"/>
      <c r="AC16" s="613"/>
    </row>
    <row r="17" spans="1:29" ht="15">
      <c r="A17" s="1302"/>
      <c r="B17" s="1304"/>
      <c r="C17" s="615" t="s">
        <v>1188</v>
      </c>
      <c r="D17" s="635">
        <v>10809.085</v>
      </c>
      <c r="E17" s="635">
        <v>0</v>
      </c>
      <c r="F17" s="642">
        <f t="shared" si="0"/>
        <v>3.16</v>
      </c>
      <c r="G17" s="617">
        <f t="shared" si="1"/>
        <v>318456</v>
      </c>
      <c r="H17" s="650">
        <f t="shared" si="2"/>
        <v>3.07</v>
      </c>
      <c r="I17" s="617">
        <f t="shared" si="3"/>
        <v>-636912</v>
      </c>
      <c r="J17" s="635">
        <v>2698075</v>
      </c>
      <c r="K17" s="635">
        <v>0</v>
      </c>
      <c r="L17" s="637">
        <f>SUM(J17+K17)</f>
        <v>2698075</v>
      </c>
      <c r="M17" s="636">
        <f>D17*J17+E17*K17</f>
        <v>29163722011.374996</v>
      </c>
      <c r="N17" s="636">
        <f>H17*L17</f>
        <v>8283090.25</v>
      </c>
      <c r="O17" s="613">
        <v>11264680</v>
      </c>
      <c r="P17" s="638">
        <v>649480</v>
      </c>
      <c r="Q17" s="619">
        <f t="shared" si="11"/>
        <v>10615200</v>
      </c>
      <c r="R17" s="651">
        <f t="shared" si="4"/>
        <v>5.765632046360838</v>
      </c>
      <c r="S17" s="651">
        <f t="shared" si="5"/>
        <v>2588.95</v>
      </c>
      <c r="T17" s="1307"/>
      <c r="U17" s="622">
        <f t="shared" si="6"/>
        <v>10809.085</v>
      </c>
      <c r="V17" s="613">
        <v>32813303</v>
      </c>
      <c r="W17" s="624">
        <f t="shared" si="7"/>
        <v>12.162</v>
      </c>
      <c r="X17" s="622">
        <f t="shared" si="8"/>
        <v>3.13</v>
      </c>
      <c r="Y17" s="656">
        <f t="shared" si="9"/>
        <v>33225576</v>
      </c>
      <c r="Z17" s="613">
        <f t="shared" si="10"/>
        <v>412273</v>
      </c>
      <c r="AA17" s="634" t="e">
        <f t="shared" si="12"/>
        <v>#DIV/0!</v>
      </c>
      <c r="AB17" s="613"/>
      <c r="AC17" s="613"/>
    </row>
    <row r="18" spans="1:29" ht="15">
      <c r="A18" s="640"/>
      <c r="B18" s="641"/>
      <c r="C18" s="615" t="s">
        <v>1187</v>
      </c>
      <c r="D18" s="635"/>
      <c r="E18" s="635"/>
      <c r="F18" s="642">
        <f t="shared" si="0"/>
        <v>3.16</v>
      </c>
      <c r="G18" s="617">
        <f t="shared" si="1"/>
        <v>616824</v>
      </c>
      <c r="H18" s="650">
        <f t="shared" si="2"/>
        <v>3.12</v>
      </c>
      <c r="I18" s="617">
        <f t="shared" si="3"/>
        <v>-205608</v>
      </c>
      <c r="J18" s="642"/>
      <c r="K18" s="635"/>
      <c r="L18" s="637">
        <f>SUM(L16:L17)</f>
        <v>5343541</v>
      </c>
      <c r="M18" s="658">
        <f>SUM(M16:M17)</f>
        <v>57531530113.255</v>
      </c>
      <c r="N18" s="659">
        <f>SUM(N16:N17)</f>
        <v>16722126.79</v>
      </c>
      <c r="O18" s="658">
        <v>21811200</v>
      </c>
      <c r="P18" s="630">
        <v>1250400</v>
      </c>
      <c r="Q18" s="619">
        <v>20560800</v>
      </c>
      <c r="R18" s="651">
        <f t="shared" si="4"/>
        <v>5.732834507042254</v>
      </c>
      <c r="S18" s="654">
        <f t="shared" si="5"/>
        <v>2637.71</v>
      </c>
      <c r="T18" s="649"/>
      <c r="U18" s="622">
        <f t="shared" si="6"/>
        <v>10766.5553821436</v>
      </c>
      <c r="V18" s="633">
        <f>V16+V17</f>
        <v>64730963</v>
      </c>
      <c r="W18" s="624">
        <f t="shared" si="7"/>
        <v>12.114</v>
      </c>
      <c r="X18" s="622">
        <f t="shared" si="8"/>
        <v>3.13</v>
      </c>
      <c r="Y18" s="656">
        <f t="shared" si="9"/>
        <v>64355304</v>
      </c>
      <c r="Z18" s="657">
        <f t="shared" si="10"/>
        <v>-375659</v>
      </c>
      <c r="AA18" s="634">
        <f t="shared" si="12"/>
        <v>90.20347394540943</v>
      </c>
      <c r="AB18" s="613">
        <v>31</v>
      </c>
      <c r="AC18" s="613">
        <v>89005070</v>
      </c>
    </row>
    <row r="19" spans="1:29" ht="15">
      <c r="A19" s="1299">
        <v>6</v>
      </c>
      <c r="B19" s="1303" t="s">
        <v>1843</v>
      </c>
      <c r="C19" s="615" t="s">
        <v>1189</v>
      </c>
      <c r="D19" s="647">
        <v>10808.646</v>
      </c>
      <c r="E19" s="647">
        <v>0</v>
      </c>
      <c r="F19" s="642">
        <f t="shared" si="0"/>
        <v>3.25</v>
      </c>
      <c r="G19" s="617">
        <f t="shared" si="1"/>
        <v>203164</v>
      </c>
      <c r="H19" s="650">
        <f t="shared" si="2"/>
        <v>3.23</v>
      </c>
      <c r="I19" s="617">
        <f t="shared" si="3"/>
        <v>0</v>
      </c>
      <c r="J19" s="648">
        <v>2633496</v>
      </c>
      <c r="K19" s="635">
        <v>0</v>
      </c>
      <c r="L19" s="637">
        <f>J19+K19</f>
        <v>2633496</v>
      </c>
      <c r="M19" s="636">
        <f>D19*J19+E19*K19</f>
        <v>28464526006.416</v>
      </c>
      <c r="N19" s="636"/>
      <c r="O19" s="613">
        <v>10758720</v>
      </c>
      <c r="P19" s="638">
        <v>600520</v>
      </c>
      <c r="Q19" s="619">
        <f t="shared" si="11"/>
        <v>10158200</v>
      </c>
      <c r="R19" s="651">
        <f t="shared" si="4"/>
        <v>5.581704886826686</v>
      </c>
      <c r="S19" s="654">
        <f t="shared" si="5"/>
        <v>2645.72</v>
      </c>
      <c r="T19" s="1305"/>
      <c r="U19" s="622">
        <f t="shared" si="6"/>
        <v>10808.646</v>
      </c>
      <c r="V19" s="639">
        <v>33020911</v>
      </c>
      <c r="W19" s="624">
        <f t="shared" si="7"/>
        <v>12.539</v>
      </c>
      <c r="X19" s="622">
        <f t="shared" si="8"/>
        <v>3.23</v>
      </c>
      <c r="Y19" s="656">
        <f t="shared" si="9"/>
        <v>32810986</v>
      </c>
      <c r="Z19" s="657">
        <f t="shared" si="10"/>
        <v>-209925</v>
      </c>
      <c r="AA19" s="634" t="e">
        <f t="shared" si="12"/>
        <v>#DIV/0!</v>
      </c>
      <c r="AB19" s="613"/>
      <c r="AC19" s="613"/>
    </row>
    <row r="20" spans="1:29" ht="15">
      <c r="A20" s="1302"/>
      <c r="B20" s="1304"/>
      <c r="C20" s="615" t="s">
        <v>1188</v>
      </c>
      <c r="D20" s="648">
        <v>10791.008</v>
      </c>
      <c r="E20" s="648"/>
      <c r="F20" s="642">
        <f t="shared" si="0"/>
        <v>3.25</v>
      </c>
      <c r="G20" s="617">
        <f t="shared" si="1"/>
        <v>206704</v>
      </c>
      <c r="H20" s="650">
        <f t="shared" si="2"/>
        <v>3.15</v>
      </c>
      <c r="I20" s="617">
        <f t="shared" si="3"/>
        <v>-826816</v>
      </c>
      <c r="J20" s="635">
        <v>2619432</v>
      </c>
      <c r="K20" s="635">
        <v>0</v>
      </c>
      <c r="L20" s="637">
        <f>J20+K20</f>
        <v>2619432</v>
      </c>
      <c r="M20" s="636">
        <f>D20*J20+E20*K20</f>
        <v>28266311667.456</v>
      </c>
      <c r="N20" s="636"/>
      <c r="O20" s="613">
        <v>10958440</v>
      </c>
      <c r="P20" s="630">
        <v>606240</v>
      </c>
      <c r="Q20" s="645">
        <v>10335200</v>
      </c>
      <c r="R20" s="651">
        <f t="shared" si="4"/>
        <v>5.532174287581079</v>
      </c>
      <c r="S20" s="654">
        <f t="shared" si="5"/>
        <v>2579.41</v>
      </c>
      <c r="T20" s="1305"/>
      <c r="U20" s="622">
        <f t="shared" si="6"/>
        <v>10791.008</v>
      </c>
      <c r="V20" s="633">
        <v>32790949</v>
      </c>
      <c r="W20" s="624">
        <f t="shared" si="7"/>
        <v>12.518</v>
      </c>
      <c r="X20" s="622">
        <f t="shared" si="8"/>
        <v>3.23</v>
      </c>
      <c r="Y20" s="656">
        <f t="shared" si="9"/>
        <v>33382696</v>
      </c>
      <c r="Z20" s="657">
        <f t="shared" si="10"/>
        <v>591747</v>
      </c>
      <c r="AA20" s="634" t="e">
        <f t="shared" si="12"/>
        <v>#DIV/0!</v>
      </c>
      <c r="AB20" s="613"/>
      <c r="AC20" s="613"/>
    </row>
    <row r="21" spans="1:29" ht="15">
      <c r="A21" s="640"/>
      <c r="B21" s="641"/>
      <c r="C21" s="615" t="s">
        <v>1187</v>
      </c>
      <c r="D21" s="648"/>
      <c r="E21" s="648"/>
      <c r="F21" s="642">
        <f t="shared" si="0"/>
        <v>3.25</v>
      </c>
      <c r="G21" s="617">
        <f t="shared" si="1"/>
        <v>409868</v>
      </c>
      <c r="H21" s="650">
        <f t="shared" si="2"/>
        <v>3.19</v>
      </c>
      <c r="I21" s="617">
        <f t="shared" si="3"/>
        <v>-819736</v>
      </c>
      <c r="J21" s="635"/>
      <c r="K21" s="635"/>
      <c r="L21" s="643">
        <f>L19+L20</f>
        <v>5252928</v>
      </c>
      <c r="M21" s="643">
        <f>M19+M20</f>
        <v>56730837673.872</v>
      </c>
      <c r="N21" s="636"/>
      <c r="O21" s="623">
        <v>21717160</v>
      </c>
      <c r="P21" s="630">
        <v>1206760</v>
      </c>
      <c r="Q21" s="645">
        <v>20493400</v>
      </c>
      <c r="R21" s="651">
        <f t="shared" si="4"/>
        <v>5.5567118352491764</v>
      </c>
      <c r="S21" s="654">
        <f t="shared" si="5"/>
        <v>2612.26</v>
      </c>
      <c r="T21" s="660"/>
      <c r="U21" s="622">
        <f t="shared" si="6"/>
        <v>10799.850611672577</v>
      </c>
      <c r="V21" s="633">
        <f>V19+V20</f>
        <v>65811860</v>
      </c>
      <c r="W21" s="624">
        <f t="shared" si="7"/>
        <v>12.529</v>
      </c>
      <c r="X21" s="622">
        <f t="shared" si="8"/>
        <v>3.23</v>
      </c>
      <c r="Y21" s="656">
        <f t="shared" si="9"/>
        <v>66193682</v>
      </c>
      <c r="Z21" s="657">
        <f t="shared" si="10"/>
        <v>381822</v>
      </c>
      <c r="AA21" s="634">
        <f t="shared" si="12"/>
        <v>92.80837606837606</v>
      </c>
      <c r="AB21" s="613">
        <v>30</v>
      </c>
      <c r="AC21" s="613">
        <v>97113638</v>
      </c>
    </row>
    <row r="22" spans="1:29" ht="15">
      <c r="A22" s="661">
        <v>7</v>
      </c>
      <c r="B22" s="662" t="s">
        <v>1844</v>
      </c>
      <c r="C22" s="615" t="s">
        <v>1189</v>
      </c>
      <c r="D22" s="153">
        <v>10806.665</v>
      </c>
      <c r="E22" s="153">
        <v>0</v>
      </c>
      <c r="F22" s="642" t="e">
        <f t="shared" si="0"/>
        <v>#DIV/0!</v>
      </c>
      <c r="G22" s="617" t="e">
        <f t="shared" si="1"/>
        <v>#DIV/0!</v>
      </c>
      <c r="H22" s="650" t="e">
        <f t="shared" si="2"/>
        <v>#DIV/0!</v>
      </c>
      <c r="I22" s="617" t="e">
        <f t="shared" si="3"/>
        <v>#DIV/0!</v>
      </c>
      <c r="J22" s="153">
        <v>2619913</v>
      </c>
      <c r="K22" s="153">
        <v>0</v>
      </c>
      <c r="L22" s="643">
        <f>J22+K22</f>
        <v>2619913</v>
      </c>
      <c r="M22" s="643">
        <f>D22*J22+E22*K22</f>
        <v>28312522120.145</v>
      </c>
      <c r="N22" s="663"/>
      <c r="O22" s="635"/>
      <c r="P22" s="630"/>
      <c r="Q22" s="635"/>
      <c r="R22" s="651" t="e">
        <f t="shared" si="4"/>
        <v>#DIV/0!</v>
      </c>
      <c r="S22" s="654" t="e">
        <f t="shared" si="5"/>
        <v>#DIV/0!</v>
      </c>
      <c r="T22" s="660"/>
      <c r="U22" s="622">
        <f t="shared" si="6"/>
        <v>10806.665</v>
      </c>
      <c r="V22" s="633">
        <v>29161395</v>
      </c>
      <c r="W22" s="624">
        <f t="shared" si="7"/>
        <v>11.131</v>
      </c>
      <c r="X22" s="622">
        <f t="shared" si="8"/>
        <v>2.87</v>
      </c>
      <c r="Y22" s="656">
        <f t="shared" si="9"/>
        <v>0</v>
      </c>
      <c r="Z22" s="657">
        <f t="shared" si="10"/>
        <v>-29161395</v>
      </c>
      <c r="AA22" s="634" t="e">
        <f t="shared" si="12"/>
        <v>#DIV/0!</v>
      </c>
      <c r="AB22" s="613"/>
      <c r="AC22" s="613"/>
    </row>
    <row r="23" spans="1:29" ht="15">
      <c r="A23" s="1296"/>
      <c r="B23" s="1297"/>
      <c r="C23" s="615" t="s">
        <v>1188</v>
      </c>
      <c r="D23" s="153">
        <v>10835.538</v>
      </c>
      <c r="E23" s="153">
        <v>0</v>
      </c>
      <c r="F23" s="642" t="e">
        <f t="shared" si="0"/>
        <v>#DIV/0!</v>
      </c>
      <c r="G23" s="617" t="e">
        <f t="shared" si="1"/>
        <v>#DIV/0!</v>
      </c>
      <c r="H23" s="650" t="e">
        <f t="shared" si="2"/>
        <v>#DIV/0!</v>
      </c>
      <c r="I23" s="617" t="e">
        <f t="shared" si="3"/>
        <v>#DIV/0!</v>
      </c>
      <c r="J23" s="153">
        <v>2611564</v>
      </c>
      <c r="K23" s="153">
        <v>0</v>
      </c>
      <c r="L23" s="643">
        <f>J23+K23</f>
        <v>2611564</v>
      </c>
      <c r="M23" s="643">
        <f>D23*J23+E23*K23</f>
        <v>28297700961.432003</v>
      </c>
      <c r="N23" s="636"/>
      <c r="O23" s="613"/>
      <c r="P23" s="630"/>
      <c r="Q23" s="664"/>
      <c r="R23" s="651" t="e">
        <f t="shared" si="4"/>
        <v>#DIV/0!</v>
      </c>
      <c r="S23" s="654" t="e">
        <f t="shared" si="5"/>
        <v>#DIV/0!</v>
      </c>
      <c r="T23" s="1305"/>
      <c r="U23" s="622">
        <f t="shared" si="6"/>
        <v>10835.538</v>
      </c>
      <c r="V23" s="633">
        <v>29146176</v>
      </c>
      <c r="W23" s="624">
        <f t="shared" si="7"/>
        <v>11.16</v>
      </c>
      <c r="X23" s="622">
        <f t="shared" si="8"/>
        <v>2.87</v>
      </c>
      <c r="Y23" s="656">
        <f t="shared" si="9"/>
        <v>0</v>
      </c>
      <c r="Z23" s="657">
        <f t="shared" si="10"/>
        <v>-29146176</v>
      </c>
      <c r="AA23" s="634" t="e">
        <f t="shared" si="12"/>
        <v>#DIV/0!</v>
      </c>
      <c r="AB23" s="613"/>
      <c r="AC23" s="613"/>
    </row>
    <row r="24" spans="1:29" ht="15">
      <c r="A24" s="1296"/>
      <c r="B24" s="1297"/>
      <c r="C24" s="615" t="s">
        <v>1187</v>
      </c>
      <c r="D24" s="635"/>
      <c r="E24" s="635"/>
      <c r="F24" s="642">
        <f t="shared" si="0"/>
        <v>2.89</v>
      </c>
      <c r="G24" s="617">
        <f t="shared" si="1"/>
        <v>413056</v>
      </c>
      <c r="H24" s="650">
        <f t="shared" si="2"/>
        <v>2.8</v>
      </c>
      <c r="I24" s="617">
        <f t="shared" si="3"/>
        <v>-1445696</v>
      </c>
      <c r="J24" s="635"/>
      <c r="K24" s="635"/>
      <c r="L24" s="643">
        <f aca="true" t="shared" si="14" ref="L24:M27">L22+L23</f>
        <v>5231477</v>
      </c>
      <c r="M24" s="643">
        <f t="shared" si="14"/>
        <v>56610223081.577</v>
      </c>
      <c r="N24" s="636"/>
      <c r="O24" s="657">
        <v>21922670</v>
      </c>
      <c r="P24" s="630">
        <v>1262870</v>
      </c>
      <c r="Q24" s="665">
        <v>20652800</v>
      </c>
      <c r="R24" s="651">
        <f t="shared" si="4"/>
        <v>5.7605665733234135</v>
      </c>
      <c r="S24" s="654">
        <f t="shared" si="5"/>
        <v>2582.27</v>
      </c>
      <c r="T24" s="1305"/>
      <c r="U24" s="622">
        <f t="shared" si="6"/>
        <v>10821.078460552728</v>
      </c>
      <c r="V24" s="633">
        <f>V22+V23</f>
        <v>58307571</v>
      </c>
      <c r="W24" s="624">
        <f t="shared" si="7"/>
        <v>11.146</v>
      </c>
      <c r="X24" s="622">
        <f t="shared" si="8"/>
        <v>2.87</v>
      </c>
      <c r="Y24" s="656">
        <f t="shared" si="9"/>
        <v>59273536</v>
      </c>
      <c r="Z24" s="657">
        <f t="shared" si="10"/>
        <v>965965</v>
      </c>
      <c r="AA24" s="634">
        <f t="shared" si="12"/>
        <v>90.6644747725393</v>
      </c>
      <c r="AB24" s="613">
        <v>31</v>
      </c>
      <c r="AC24" s="613">
        <v>98952016</v>
      </c>
    </row>
    <row r="25" spans="1:29" ht="15">
      <c r="A25" s="595">
        <v>8</v>
      </c>
      <c r="B25" s="666" t="s">
        <v>1845</v>
      </c>
      <c r="C25" s="615" t="s">
        <v>1189</v>
      </c>
      <c r="D25" s="635">
        <v>10890.294</v>
      </c>
      <c r="E25" s="635">
        <v>0</v>
      </c>
      <c r="F25" s="642" t="e">
        <f t="shared" si="0"/>
        <v>#DIV/0!</v>
      </c>
      <c r="G25" s="617" t="e">
        <f t="shared" si="1"/>
        <v>#DIV/0!</v>
      </c>
      <c r="H25" s="650" t="e">
        <f t="shared" si="2"/>
        <v>#DIV/0!</v>
      </c>
      <c r="I25" s="617" t="e">
        <f t="shared" si="3"/>
        <v>#DIV/0!</v>
      </c>
      <c r="J25" s="635">
        <v>2562455</v>
      </c>
      <c r="K25" s="635">
        <v>0</v>
      </c>
      <c r="L25" s="643">
        <f>J25+K25</f>
        <v>2562455</v>
      </c>
      <c r="M25" s="643">
        <f>D25*J25+E25*K25</f>
        <v>27905888311.77</v>
      </c>
      <c r="N25" s="663"/>
      <c r="O25" s="635"/>
      <c r="P25" s="630"/>
      <c r="Q25" s="667"/>
      <c r="R25" s="651" t="e">
        <f t="shared" si="4"/>
        <v>#DIV/0!</v>
      </c>
      <c r="S25" s="654" t="e">
        <f t="shared" si="5"/>
        <v>#DIV/0!</v>
      </c>
      <c r="T25" s="660"/>
      <c r="U25" s="622">
        <f t="shared" si="6"/>
        <v>10890.294</v>
      </c>
      <c r="V25" s="633">
        <v>28636525</v>
      </c>
      <c r="W25" s="624">
        <f t="shared" si="7"/>
        <v>11.175</v>
      </c>
      <c r="X25" s="622">
        <f t="shared" si="8"/>
        <v>2.86</v>
      </c>
      <c r="Y25" s="656">
        <f t="shared" si="9"/>
        <v>0</v>
      </c>
      <c r="Z25" s="657">
        <f t="shared" si="10"/>
        <v>-28636525</v>
      </c>
      <c r="AA25" s="634" t="e">
        <f t="shared" si="12"/>
        <v>#DIV/0!</v>
      </c>
      <c r="AB25" s="613">
        <v>0</v>
      </c>
      <c r="AC25" s="613"/>
    </row>
    <row r="26" spans="1:29" ht="15">
      <c r="A26" s="595"/>
      <c r="B26" s="1300"/>
      <c r="C26" s="615" t="s">
        <v>1188</v>
      </c>
      <c r="D26" s="617">
        <v>10834.857</v>
      </c>
      <c r="E26" s="617">
        <v>0</v>
      </c>
      <c r="F26" s="642" t="e">
        <f t="shared" si="0"/>
        <v>#DIV/0!</v>
      </c>
      <c r="G26" s="617" t="e">
        <f t="shared" si="1"/>
        <v>#DIV/0!</v>
      </c>
      <c r="H26" s="650" t="e">
        <f t="shared" si="2"/>
        <v>#DIV/0!</v>
      </c>
      <c r="I26" s="617" t="e">
        <f t="shared" si="3"/>
        <v>#DIV/0!</v>
      </c>
      <c r="J26" s="617">
        <v>2459580</v>
      </c>
      <c r="K26" s="617">
        <v>0</v>
      </c>
      <c r="L26" s="643">
        <f>J26+K26</f>
        <v>2459580</v>
      </c>
      <c r="M26" s="643">
        <f>D26*J26+E26*K26</f>
        <v>26649197580.06</v>
      </c>
      <c r="N26" s="628"/>
      <c r="O26" s="617"/>
      <c r="P26" s="630"/>
      <c r="Q26" s="668"/>
      <c r="R26" s="651" t="e">
        <f t="shared" si="4"/>
        <v>#DIV/0!</v>
      </c>
      <c r="S26" s="654" t="e">
        <f t="shared" si="5"/>
        <v>#DIV/0!</v>
      </c>
      <c r="T26" s="669"/>
      <c r="U26" s="622">
        <f t="shared" si="6"/>
        <v>10834.857</v>
      </c>
      <c r="V26" s="633">
        <v>27346853</v>
      </c>
      <c r="W26" s="624">
        <f t="shared" si="7"/>
        <v>11.119</v>
      </c>
      <c r="X26" s="622">
        <f t="shared" si="8"/>
        <v>2.86</v>
      </c>
      <c r="Y26" s="656">
        <f t="shared" si="9"/>
        <v>0</v>
      </c>
      <c r="Z26" s="657">
        <f t="shared" si="10"/>
        <v>-27346853</v>
      </c>
      <c r="AA26" s="634" t="e">
        <f t="shared" si="12"/>
        <v>#DIV/0!</v>
      </c>
      <c r="AB26" s="613">
        <v>0</v>
      </c>
      <c r="AC26" s="614"/>
    </row>
    <row r="27" spans="1:29" ht="15">
      <c r="A27" s="595"/>
      <c r="B27" s="1301"/>
      <c r="C27" s="615" t="s">
        <v>1187</v>
      </c>
      <c r="D27" s="616"/>
      <c r="E27" s="616"/>
      <c r="F27" s="642">
        <f t="shared" si="0"/>
        <v>2.88</v>
      </c>
      <c r="G27" s="617">
        <f t="shared" si="1"/>
        <v>384276</v>
      </c>
      <c r="H27" s="650">
        <f t="shared" si="2"/>
        <v>2.89</v>
      </c>
      <c r="I27" s="617">
        <f t="shared" si="3"/>
        <v>576414</v>
      </c>
      <c r="J27" s="617"/>
      <c r="K27" s="617"/>
      <c r="L27" s="643">
        <f t="shared" si="14"/>
        <v>5022035</v>
      </c>
      <c r="M27" s="643">
        <f t="shared" si="14"/>
        <v>54555085891.83</v>
      </c>
      <c r="N27" s="628"/>
      <c r="O27" s="628">
        <v>20376220</v>
      </c>
      <c r="P27" s="630">
        <v>1162420</v>
      </c>
      <c r="Q27" s="628">
        <v>19213800</v>
      </c>
      <c r="R27" s="651">
        <f t="shared" si="4"/>
        <v>5.704787247094898</v>
      </c>
      <c r="S27" s="654">
        <f t="shared" si="5"/>
        <v>2677.39</v>
      </c>
      <c r="T27" s="669"/>
      <c r="U27" s="622">
        <f t="shared" si="6"/>
        <v>10863.143305817264</v>
      </c>
      <c r="V27" s="633">
        <f>V25+V26</f>
        <v>55983378</v>
      </c>
      <c r="W27" s="624">
        <f t="shared" si="7"/>
        <v>11.148</v>
      </c>
      <c r="X27" s="622">
        <f t="shared" si="8"/>
        <v>2.86</v>
      </c>
      <c r="Y27" s="656">
        <f t="shared" si="9"/>
        <v>54951468</v>
      </c>
      <c r="Z27" s="657">
        <f t="shared" si="10"/>
        <v>-1031910</v>
      </c>
      <c r="AA27" s="634">
        <f t="shared" si="12"/>
        <v>87.07786324786325</v>
      </c>
      <c r="AB27" s="613">
        <v>30</v>
      </c>
      <c r="AC27" s="614">
        <v>92031870</v>
      </c>
    </row>
    <row r="28" spans="1:29" ht="15">
      <c r="A28" s="1296">
        <v>9</v>
      </c>
      <c r="B28" s="1297" t="s">
        <v>1846</v>
      </c>
      <c r="C28" s="615" t="s">
        <v>1189</v>
      </c>
      <c r="D28" s="617">
        <v>10870.221</v>
      </c>
      <c r="E28" s="617">
        <v>0</v>
      </c>
      <c r="F28" s="642" t="e">
        <f t="shared" si="0"/>
        <v>#DIV/0!</v>
      </c>
      <c r="G28" s="617" t="e">
        <f t="shared" si="1"/>
        <v>#DIV/0!</v>
      </c>
      <c r="H28" s="650" t="e">
        <f t="shared" si="2"/>
        <v>#DIV/0!</v>
      </c>
      <c r="I28" s="617" t="e">
        <f t="shared" si="3"/>
        <v>#DIV/0!</v>
      </c>
      <c r="J28" s="616">
        <v>2535968</v>
      </c>
      <c r="K28" s="616">
        <v>0</v>
      </c>
      <c r="L28" s="617">
        <f>J28+K28</f>
        <v>2535968</v>
      </c>
      <c r="M28" s="643">
        <f aca="true" t="shared" si="15" ref="M28:M38">D28*J28+E28*K28</f>
        <v>27566532608.927998</v>
      </c>
      <c r="N28" s="618"/>
      <c r="O28" s="614"/>
      <c r="P28" s="630"/>
      <c r="Q28" s="619"/>
      <c r="R28" s="651" t="e">
        <f t="shared" si="4"/>
        <v>#DIV/0!</v>
      </c>
      <c r="S28" s="654" t="e">
        <f t="shared" si="5"/>
        <v>#DIV/0!</v>
      </c>
      <c r="T28" s="1298"/>
      <c r="U28" s="622">
        <f t="shared" si="6"/>
        <v>10870.221</v>
      </c>
      <c r="V28" s="633">
        <v>28435538</v>
      </c>
      <c r="W28" s="624">
        <f t="shared" si="7"/>
        <v>11.213</v>
      </c>
      <c r="X28" s="622">
        <f t="shared" si="8"/>
        <v>2.87</v>
      </c>
      <c r="Y28" s="656">
        <f t="shared" si="9"/>
        <v>0</v>
      </c>
      <c r="Z28" s="657">
        <f t="shared" si="10"/>
        <v>-28435538</v>
      </c>
      <c r="AA28" s="634" t="e">
        <f t="shared" si="12"/>
        <v>#DIV/0!</v>
      </c>
      <c r="AB28" s="613">
        <v>0</v>
      </c>
      <c r="AC28" s="614"/>
    </row>
    <row r="29" spans="1:29" ht="15">
      <c r="A29" s="1296"/>
      <c r="B29" s="1297"/>
      <c r="C29" s="615" t="s">
        <v>1188</v>
      </c>
      <c r="D29" s="616">
        <v>10901.65</v>
      </c>
      <c r="E29" s="616">
        <v>0</v>
      </c>
      <c r="F29" s="642" t="e">
        <f t="shared" si="0"/>
        <v>#DIV/0!</v>
      </c>
      <c r="G29" s="617" t="e">
        <f t="shared" si="1"/>
        <v>#DIV/0!</v>
      </c>
      <c r="H29" s="650" t="e">
        <f t="shared" si="2"/>
        <v>#DIV/0!</v>
      </c>
      <c r="I29" s="617" t="e">
        <f t="shared" si="3"/>
        <v>#DIV/0!</v>
      </c>
      <c r="J29" s="616">
        <v>2691127</v>
      </c>
      <c r="K29" s="616">
        <v>0</v>
      </c>
      <c r="L29" s="617">
        <f aca="true" t="shared" si="16" ref="L29:L38">J29+K29</f>
        <v>2691127</v>
      </c>
      <c r="M29" s="643">
        <f t="shared" si="15"/>
        <v>29337724659.55</v>
      </c>
      <c r="N29" s="618"/>
      <c r="O29" s="614"/>
      <c r="P29" s="630"/>
      <c r="Q29" s="670"/>
      <c r="R29" s="651" t="e">
        <f t="shared" si="4"/>
        <v>#DIV/0!</v>
      </c>
      <c r="S29" s="654" t="e">
        <f t="shared" si="5"/>
        <v>#DIV/0!</v>
      </c>
      <c r="T29" s="1298"/>
      <c r="U29" s="622">
        <f t="shared" si="6"/>
        <v>10901.65</v>
      </c>
      <c r="V29" s="633">
        <v>29337724.66</v>
      </c>
      <c r="W29" s="624">
        <f t="shared" si="7"/>
        <v>10.902</v>
      </c>
      <c r="X29" s="622">
        <f t="shared" si="8"/>
        <v>2.79</v>
      </c>
      <c r="Y29" s="656">
        <f t="shared" si="9"/>
        <v>0</v>
      </c>
      <c r="Z29" s="657">
        <f t="shared" si="10"/>
        <v>-29337724.66</v>
      </c>
      <c r="AA29" s="634" t="e">
        <f t="shared" si="12"/>
        <v>#DIV/0!</v>
      </c>
      <c r="AB29" s="613">
        <v>0</v>
      </c>
      <c r="AC29" s="614"/>
    </row>
    <row r="30" spans="1:29" ht="15">
      <c r="A30" s="595"/>
      <c r="B30" s="666"/>
      <c r="C30" s="615" t="s">
        <v>1187</v>
      </c>
      <c r="D30" s="616"/>
      <c r="E30" s="616"/>
      <c r="F30" s="642">
        <f t="shared" si="0"/>
        <v>2.83</v>
      </c>
      <c r="G30" s="617">
        <f t="shared" si="1"/>
        <v>0</v>
      </c>
      <c r="H30" s="650">
        <f t="shared" si="2"/>
        <v>2.78</v>
      </c>
      <c r="I30" s="617">
        <f t="shared" si="3"/>
        <v>-1036980.0000000075</v>
      </c>
      <c r="J30" s="616"/>
      <c r="K30" s="616"/>
      <c r="L30" s="628">
        <f>L28+L29</f>
        <v>5227095</v>
      </c>
      <c r="M30" s="617">
        <f>M28+M29</f>
        <v>56904257268.478</v>
      </c>
      <c r="N30" s="628"/>
      <c r="O30" s="628">
        <v>21874430</v>
      </c>
      <c r="P30" s="630">
        <f>O30-Q30</f>
        <v>1134830</v>
      </c>
      <c r="Q30" s="628">
        <v>20739600</v>
      </c>
      <c r="R30" s="651">
        <f t="shared" si="4"/>
        <v>5.187929468333575</v>
      </c>
      <c r="S30" s="654">
        <f t="shared" si="5"/>
        <v>2601.41</v>
      </c>
      <c r="T30" s="669"/>
      <c r="U30" s="622">
        <f t="shared" si="6"/>
        <v>10886.401962940792</v>
      </c>
      <c r="V30" s="633">
        <f>V28+V29</f>
        <v>57773262.66</v>
      </c>
      <c r="W30" s="624">
        <f t="shared" si="7"/>
        <v>11.053</v>
      </c>
      <c r="X30" s="622">
        <f t="shared" si="8"/>
        <v>2.83</v>
      </c>
      <c r="Y30" s="656">
        <f t="shared" si="9"/>
        <v>58693068</v>
      </c>
      <c r="Z30" s="657">
        <f t="shared" si="10"/>
        <v>919805.3400000036</v>
      </c>
      <c r="AA30" s="634">
        <f t="shared" si="12"/>
        <v>90.46497105045492</v>
      </c>
      <c r="AB30" s="613">
        <v>31</v>
      </c>
      <c r="AC30" s="614">
        <v>85964318</v>
      </c>
    </row>
    <row r="31" spans="1:29" ht="15">
      <c r="A31" s="1296">
        <v>10</v>
      </c>
      <c r="B31" s="1297" t="s">
        <v>1847</v>
      </c>
      <c r="C31" s="615" t="s">
        <v>1189</v>
      </c>
      <c r="D31" s="616">
        <v>10886.203</v>
      </c>
      <c r="E31" s="616">
        <v>0</v>
      </c>
      <c r="F31" s="642" t="e">
        <f t="shared" si="0"/>
        <v>#DIV/0!</v>
      </c>
      <c r="G31" s="617" t="e">
        <f t="shared" si="1"/>
        <v>#DIV/0!</v>
      </c>
      <c r="H31" s="650" t="e">
        <f t="shared" si="2"/>
        <v>#DIV/0!</v>
      </c>
      <c r="I31" s="617" t="e">
        <f t="shared" si="3"/>
        <v>#DIV/0!</v>
      </c>
      <c r="J31" s="616">
        <v>2572603</v>
      </c>
      <c r="K31" s="616"/>
      <c r="L31" s="617">
        <f t="shared" si="16"/>
        <v>2572603</v>
      </c>
      <c r="M31" s="643">
        <f t="shared" si="15"/>
        <v>28005878496.409</v>
      </c>
      <c r="N31" s="618"/>
      <c r="O31" s="614"/>
      <c r="P31" s="630"/>
      <c r="Q31" s="619"/>
      <c r="R31" s="651" t="e">
        <f t="shared" si="4"/>
        <v>#DIV/0!</v>
      </c>
      <c r="S31" s="654" t="e">
        <f t="shared" si="5"/>
        <v>#DIV/0!</v>
      </c>
      <c r="T31" s="1298"/>
      <c r="U31" s="622">
        <f t="shared" si="6"/>
        <v>10886.203</v>
      </c>
      <c r="V31" s="633">
        <v>28793536</v>
      </c>
      <c r="W31" s="624">
        <f t="shared" si="7"/>
        <v>11.192</v>
      </c>
      <c r="X31" s="622">
        <f t="shared" si="8"/>
        <v>2.86</v>
      </c>
      <c r="Y31" s="656"/>
      <c r="Z31" s="657">
        <f t="shared" si="10"/>
        <v>-28793536</v>
      </c>
      <c r="AA31" s="634" t="e">
        <f t="shared" si="12"/>
        <v>#DIV/0!</v>
      </c>
      <c r="AB31" s="613">
        <v>0</v>
      </c>
      <c r="AC31" s="614"/>
    </row>
    <row r="32" spans="1:29" ht="15">
      <c r="A32" s="1296"/>
      <c r="B32" s="1297"/>
      <c r="C32" s="615" t="s">
        <v>1188</v>
      </c>
      <c r="D32" s="671">
        <v>10866.284</v>
      </c>
      <c r="E32" s="671">
        <v>0</v>
      </c>
      <c r="F32" s="642" t="e">
        <f t="shared" si="0"/>
        <v>#DIV/0!</v>
      </c>
      <c r="G32" s="617" t="e">
        <f t="shared" si="1"/>
        <v>#DIV/0!</v>
      </c>
      <c r="H32" s="650" t="e">
        <f t="shared" si="2"/>
        <v>#DIV/0!</v>
      </c>
      <c r="I32" s="617" t="e">
        <f t="shared" si="3"/>
        <v>#DIV/0!</v>
      </c>
      <c r="J32" s="616">
        <v>2751936</v>
      </c>
      <c r="K32" s="616"/>
      <c r="L32" s="617">
        <f t="shared" si="16"/>
        <v>2751936</v>
      </c>
      <c r="M32" s="643">
        <f t="shared" si="15"/>
        <v>29903318125.823997</v>
      </c>
      <c r="N32" s="618"/>
      <c r="O32" s="614"/>
      <c r="P32" s="630"/>
      <c r="Q32" s="670"/>
      <c r="R32" s="651" t="e">
        <f t="shared" si="4"/>
        <v>#DIV/0!</v>
      </c>
      <c r="S32" s="654" t="e">
        <f t="shared" si="5"/>
        <v>#DIV/0!</v>
      </c>
      <c r="T32" s="1298"/>
      <c r="U32" s="622">
        <f t="shared" si="6"/>
        <v>10866.284</v>
      </c>
      <c r="V32" s="633">
        <v>30744306</v>
      </c>
      <c r="W32" s="624">
        <f t="shared" si="7"/>
        <v>11.172</v>
      </c>
      <c r="X32" s="622">
        <f t="shared" si="8"/>
        <v>2.86</v>
      </c>
      <c r="Y32" s="656">
        <f t="shared" si="9"/>
        <v>0</v>
      </c>
      <c r="Z32" s="657">
        <f t="shared" si="10"/>
        <v>-30744306</v>
      </c>
      <c r="AA32" s="634" t="e">
        <f t="shared" si="12"/>
        <v>#DIV/0!</v>
      </c>
      <c r="AB32" s="613">
        <v>0</v>
      </c>
      <c r="AC32" s="614"/>
    </row>
    <row r="33" spans="1:29" ht="15">
      <c r="A33" s="595"/>
      <c r="B33" s="666"/>
      <c r="C33" s="615" t="s">
        <v>1187</v>
      </c>
      <c r="D33" s="671"/>
      <c r="E33" s="671"/>
      <c r="F33" s="642"/>
      <c r="G33" s="617">
        <f t="shared" si="1"/>
        <v>-60331700</v>
      </c>
      <c r="H33" s="650">
        <f t="shared" si="2"/>
        <v>2.81</v>
      </c>
      <c r="I33" s="617">
        <f t="shared" si="3"/>
        <v>-1054750</v>
      </c>
      <c r="J33" s="616"/>
      <c r="K33" s="616"/>
      <c r="L33" s="628">
        <f>L31+L32</f>
        <v>5324539</v>
      </c>
      <c r="M33" s="617">
        <f>M31+M32</f>
        <v>57909196622.233</v>
      </c>
      <c r="N33" s="628"/>
      <c r="O33" s="628">
        <v>22305520</v>
      </c>
      <c r="P33" s="630">
        <f>O33-Q33</f>
        <v>1210520</v>
      </c>
      <c r="Q33" s="628">
        <v>21095000</v>
      </c>
      <c r="R33" s="651">
        <f t="shared" si="4"/>
        <v>5.426997442785463</v>
      </c>
      <c r="S33" s="654">
        <f t="shared" si="5"/>
        <v>2596.18</v>
      </c>
      <c r="T33" s="669"/>
      <c r="U33" s="622">
        <f t="shared" si="6"/>
        <v>10875.908059314243</v>
      </c>
      <c r="V33" s="639">
        <f>V31+V32</f>
        <v>59537842</v>
      </c>
      <c r="W33" s="624">
        <f t="shared" si="7"/>
        <v>11.182</v>
      </c>
      <c r="X33" s="622">
        <f t="shared" si="8"/>
        <v>2.86</v>
      </c>
      <c r="Y33" s="656">
        <f t="shared" si="9"/>
        <v>60331700</v>
      </c>
      <c r="Z33" s="657">
        <f t="shared" si="10"/>
        <v>793858</v>
      </c>
      <c r="AA33" s="634">
        <f t="shared" si="12"/>
        <v>92.24780810587262</v>
      </c>
      <c r="AB33" s="613">
        <v>31</v>
      </c>
      <c r="AC33" s="614">
        <v>86773367</v>
      </c>
    </row>
    <row r="34" spans="1:29" ht="15">
      <c r="A34" s="1296">
        <v>11</v>
      </c>
      <c r="B34" s="1297" t="s">
        <v>1848</v>
      </c>
      <c r="C34" s="615" t="s">
        <v>1189</v>
      </c>
      <c r="D34" s="616">
        <v>10847.425</v>
      </c>
      <c r="E34" s="616">
        <v>0</v>
      </c>
      <c r="F34" s="642"/>
      <c r="G34" s="617">
        <f t="shared" si="1"/>
        <v>0</v>
      </c>
      <c r="H34" s="650" t="e">
        <f t="shared" si="2"/>
        <v>#DIV/0!</v>
      </c>
      <c r="I34" s="617" t="e">
        <f t="shared" si="3"/>
        <v>#DIV/0!</v>
      </c>
      <c r="J34" s="616">
        <v>2588393</v>
      </c>
      <c r="K34" s="616"/>
      <c r="L34" s="617">
        <f t="shared" si="16"/>
        <v>2588393</v>
      </c>
      <c r="M34" s="643">
        <f t="shared" si="15"/>
        <v>28077398938.024998</v>
      </c>
      <c r="N34" s="618"/>
      <c r="O34" s="614"/>
      <c r="P34" s="630"/>
      <c r="Q34" s="619"/>
      <c r="R34" s="651" t="e">
        <f t="shared" si="4"/>
        <v>#DIV/0!</v>
      </c>
      <c r="S34" s="654" t="e">
        <f t="shared" si="5"/>
        <v>#DIV/0!</v>
      </c>
      <c r="T34" s="1298"/>
      <c r="U34" s="622">
        <f t="shared" si="6"/>
        <v>10847.425</v>
      </c>
      <c r="V34" s="633">
        <v>28911328</v>
      </c>
      <c r="W34" s="624">
        <f t="shared" si="7"/>
        <v>11.17</v>
      </c>
      <c r="X34" s="622">
        <f t="shared" si="8"/>
        <v>2.87</v>
      </c>
      <c r="Y34" s="656">
        <f t="shared" si="9"/>
        <v>0</v>
      </c>
      <c r="Z34" s="657">
        <f t="shared" si="10"/>
        <v>-28911328</v>
      </c>
      <c r="AA34" s="634" t="e">
        <f t="shared" si="12"/>
        <v>#DIV/0!</v>
      </c>
      <c r="AB34" s="613">
        <v>0</v>
      </c>
      <c r="AC34" s="614"/>
    </row>
    <row r="35" spans="1:29" ht="15">
      <c r="A35" s="1296"/>
      <c r="B35" s="1297"/>
      <c r="C35" s="615" t="s">
        <v>1188</v>
      </c>
      <c r="D35" s="616">
        <v>10854.511</v>
      </c>
      <c r="E35" s="616">
        <v>0</v>
      </c>
      <c r="F35" s="642"/>
      <c r="G35" s="617">
        <f t="shared" si="1"/>
        <v>0</v>
      </c>
      <c r="H35" s="650" t="e">
        <f t="shared" si="2"/>
        <v>#DIV/0!</v>
      </c>
      <c r="I35" s="617" t="e">
        <f t="shared" si="3"/>
        <v>#DIV/0!</v>
      </c>
      <c r="J35" s="616">
        <v>2396536</v>
      </c>
      <c r="K35" s="616"/>
      <c r="L35" s="617">
        <f t="shared" si="16"/>
        <v>2396536</v>
      </c>
      <c r="M35" s="643">
        <f t="shared" si="15"/>
        <v>26013226373.896</v>
      </c>
      <c r="N35" s="618"/>
      <c r="O35" s="614"/>
      <c r="P35" s="630"/>
      <c r="Q35" s="619"/>
      <c r="R35" s="651" t="e">
        <f t="shared" si="4"/>
        <v>#DIV/0!</v>
      </c>
      <c r="S35" s="654" t="e">
        <f t="shared" si="5"/>
        <v>#DIV/0!</v>
      </c>
      <c r="T35" s="1298"/>
      <c r="U35" s="622">
        <f t="shared" si="6"/>
        <v>10854.511</v>
      </c>
      <c r="V35" s="633">
        <v>26785863</v>
      </c>
      <c r="W35" s="624">
        <f t="shared" si="7"/>
        <v>11.177</v>
      </c>
      <c r="X35" s="622">
        <f t="shared" si="8"/>
        <v>2.87</v>
      </c>
      <c r="Y35" s="656">
        <f t="shared" si="9"/>
        <v>0</v>
      </c>
      <c r="Z35" s="657">
        <f t="shared" si="10"/>
        <v>-26785863</v>
      </c>
      <c r="AA35" s="634" t="e">
        <f t="shared" si="12"/>
        <v>#DIV/0!</v>
      </c>
      <c r="AB35" s="613">
        <v>0</v>
      </c>
      <c r="AC35" s="614"/>
    </row>
    <row r="36" spans="1:29" ht="15">
      <c r="A36" s="595"/>
      <c r="B36" s="666"/>
      <c r="C36" s="615" t="s">
        <v>1187</v>
      </c>
      <c r="D36" s="616"/>
      <c r="E36" s="616"/>
      <c r="F36" s="642"/>
      <c r="G36" s="617">
        <f t="shared" si="1"/>
        <v>-57612954</v>
      </c>
      <c r="H36" s="650">
        <f t="shared" si="2"/>
        <v>2.78</v>
      </c>
      <c r="I36" s="617">
        <f t="shared" si="3"/>
        <v>-1806678.0000000075</v>
      </c>
      <c r="J36" s="616"/>
      <c r="K36" s="616"/>
      <c r="L36" s="628">
        <f>L34+L35</f>
        <v>4984929</v>
      </c>
      <c r="M36" s="617">
        <f>M34+M35</f>
        <v>54090625311.921</v>
      </c>
      <c r="N36" s="618"/>
      <c r="O36" s="614">
        <v>21114470</v>
      </c>
      <c r="P36" s="630">
        <f>O36-Q36</f>
        <v>1040270</v>
      </c>
      <c r="Q36" s="672">
        <v>20074200</v>
      </c>
      <c r="R36" s="651">
        <f t="shared" si="4"/>
        <v>4.926810855304443</v>
      </c>
      <c r="S36" s="654">
        <f t="shared" si="5"/>
        <v>2561.78</v>
      </c>
      <c r="T36" s="673"/>
      <c r="U36" s="622">
        <f t="shared" si="6"/>
        <v>10850.831639110807</v>
      </c>
      <c r="V36" s="639">
        <f>V34+V35</f>
        <v>55697191</v>
      </c>
      <c r="W36" s="624">
        <f t="shared" si="7"/>
        <v>11.173</v>
      </c>
      <c r="X36" s="622">
        <f t="shared" si="8"/>
        <v>2.87</v>
      </c>
      <c r="Y36" s="656">
        <f t="shared" si="9"/>
        <v>57612954</v>
      </c>
      <c r="Z36" s="657">
        <f t="shared" si="10"/>
        <v>1915763</v>
      </c>
      <c r="AA36" s="634">
        <f t="shared" si="12"/>
        <v>96.67797619047619</v>
      </c>
      <c r="AB36" s="613">
        <v>28</v>
      </c>
      <c r="AC36" s="614">
        <v>84054621</v>
      </c>
    </row>
    <row r="37" spans="1:29" ht="15">
      <c r="A37" s="1296">
        <v>12</v>
      </c>
      <c r="B37" s="1297" t="s">
        <v>1849</v>
      </c>
      <c r="C37" s="615" t="s">
        <v>1189</v>
      </c>
      <c r="D37" s="616">
        <v>10816.679</v>
      </c>
      <c r="E37" s="616"/>
      <c r="F37" s="642"/>
      <c r="G37" s="617">
        <f t="shared" si="1"/>
        <v>0</v>
      </c>
      <c r="H37" s="650" t="e">
        <f t="shared" si="2"/>
        <v>#DIV/0!</v>
      </c>
      <c r="I37" s="617" t="e">
        <f t="shared" si="3"/>
        <v>#DIV/0!</v>
      </c>
      <c r="J37" s="616">
        <v>2563419</v>
      </c>
      <c r="K37" s="616"/>
      <c r="L37" s="617">
        <f t="shared" si="16"/>
        <v>2563419</v>
      </c>
      <c r="M37" s="643">
        <f t="shared" si="15"/>
        <v>27727680465.501</v>
      </c>
      <c r="N37" s="618"/>
      <c r="O37" s="614"/>
      <c r="P37" s="630"/>
      <c r="Q37" s="619"/>
      <c r="R37" s="651" t="e">
        <f t="shared" si="4"/>
        <v>#DIV/0!</v>
      </c>
      <c r="S37" s="654" t="e">
        <f t="shared" si="5"/>
        <v>#DIV/0!</v>
      </c>
      <c r="T37" s="593"/>
      <c r="U37" s="622">
        <f t="shared" si="6"/>
        <v>10816.679</v>
      </c>
      <c r="V37" s="633">
        <v>28616275</v>
      </c>
      <c r="W37" s="624">
        <f t="shared" si="7"/>
        <v>11.163</v>
      </c>
      <c r="X37" s="622">
        <f t="shared" si="8"/>
        <v>2.87</v>
      </c>
      <c r="Y37" s="656">
        <f t="shared" si="9"/>
        <v>0</v>
      </c>
      <c r="Z37" s="657">
        <f t="shared" si="10"/>
        <v>-28616275</v>
      </c>
      <c r="AA37" s="634" t="e">
        <f t="shared" si="12"/>
        <v>#DIV/0!</v>
      </c>
      <c r="AB37" s="613">
        <v>0</v>
      </c>
      <c r="AC37" s="614"/>
    </row>
    <row r="38" spans="1:29" ht="15">
      <c r="A38" s="1299"/>
      <c r="B38" s="1300"/>
      <c r="C38" s="674" t="s">
        <v>1188</v>
      </c>
      <c r="D38" s="675">
        <v>10769.937</v>
      </c>
      <c r="E38" s="675"/>
      <c r="F38" s="642"/>
      <c r="G38" s="617">
        <f t="shared" si="1"/>
        <v>0</v>
      </c>
      <c r="H38" s="650" t="e">
        <f t="shared" si="2"/>
        <v>#DIV/0!</v>
      </c>
      <c r="I38" s="617" t="e">
        <f t="shared" si="3"/>
        <v>#DIV/0!</v>
      </c>
      <c r="J38" s="675">
        <v>2640810</v>
      </c>
      <c r="K38" s="675"/>
      <c r="L38" s="617">
        <f t="shared" si="16"/>
        <v>2640810</v>
      </c>
      <c r="M38" s="643">
        <f t="shared" si="15"/>
        <v>28441357328.97</v>
      </c>
      <c r="N38" s="676"/>
      <c r="O38" s="614"/>
      <c r="P38" s="630"/>
      <c r="Q38" s="619"/>
      <c r="R38" s="651" t="e">
        <f t="shared" si="4"/>
        <v>#DIV/0!</v>
      </c>
      <c r="S38" s="654" t="e">
        <f t="shared" si="5"/>
        <v>#DIV/0!</v>
      </c>
      <c r="T38" s="593"/>
      <c r="U38" s="622">
        <f t="shared" si="6"/>
        <v>10769.937</v>
      </c>
      <c r="V38" s="633">
        <v>29352748</v>
      </c>
      <c r="W38" s="624">
        <f t="shared" si="7"/>
        <v>11.115</v>
      </c>
      <c r="X38" s="622">
        <f t="shared" si="8"/>
        <v>2.87</v>
      </c>
      <c r="Y38" s="656">
        <f t="shared" si="9"/>
        <v>0</v>
      </c>
      <c r="Z38" s="657">
        <f t="shared" si="10"/>
        <v>-29352748</v>
      </c>
      <c r="AA38" s="634" t="e">
        <f t="shared" si="12"/>
        <v>#DIV/0!</v>
      </c>
      <c r="AB38" s="613">
        <v>0</v>
      </c>
      <c r="AC38" s="614"/>
    </row>
    <row r="39" spans="1:29" ht="15">
      <c r="A39" s="595"/>
      <c r="B39" s="666"/>
      <c r="C39" s="615" t="s">
        <v>1187</v>
      </c>
      <c r="D39" s="616"/>
      <c r="E39" s="616"/>
      <c r="F39" s="642"/>
      <c r="G39" s="617">
        <f t="shared" si="1"/>
        <v>-58583014</v>
      </c>
      <c r="H39" s="650">
        <f t="shared" si="2"/>
        <v>2.82</v>
      </c>
      <c r="I39" s="617">
        <f t="shared" si="3"/>
        <v>-1020610</v>
      </c>
      <c r="J39" s="616"/>
      <c r="K39" s="616"/>
      <c r="L39" s="628">
        <f>L37+L38</f>
        <v>5204229</v>
      </c>
      <c r="M39" s="617">
        <f>M37+M38</f>
        <v>56169037794.471</v>
      </c>
      <c r="N39" s="618"/>
      <c r="O39" s="614">
        <v>21621320</v>
      </c>
      <c r="P39" s="630">
        <f>O39-Q39</f>
        <v>1209120</v>
      </c>
      <c r="Q39" s="614">
        <v>20412200</v>
      </c>
      <c r="R39" s="651">
        <f t="shared" si="4"/>
        <v>5.5922580119992675</v>
      </c>
      <c r="S39" s="654">
        <f t="shared" si="5"/>
        <v>2597.85</v>
      </c>
      <c r="T39" s="611"/>
      <c r="U39" s="622">
        <f t="shared" si="6"/>
        <v>10792.96045475151</v>
      </c>
      <c r="V39" s="639">
        <f>V37+V38</f>
        <v>57969023</v>
      </c>
      <c r="W39" s="624">
        <f t="shared" si="7"/>
        <v>11.139</v>
      </c>
      <c r="X39" s="622">
        <f t="shared" si="8"/>
        <v>2.87</v>
      </c>
      <c r="Y39" s="656">
        <f t="shared" si="9"/>
        <v>58583014</v>
      </c>
      <c r="Z39" s="657">
        <f t="shared" si="10"/>
        <v>613991</v>
      </c>
      <c r="AA39" s="634">
        <f t="shared" si="12"/>
        <v>89.41819685690653</v>
      </c>
      <c r="AB39" s="614">
        <v>31</v>
      </c>
      <c r="AC39" s="614"/>
    </row>
    <row r="40" spans="1:30" ht="15">
      <c r="A40" s="677"/>
      <c r="B40" s="678"/>
      <c r="C40" s="679"/>
      <c r="D40" s="680"/>
      <c r="E40" s="680"/>
      <c r="F40" s="680"/>
      <c r="G40" s="680"/>
      <c r="H40" s="681"/>
      <c r="I40" s="680"/>
      <c r="J40" s="680"/>
      <c r="K40" s="680"/>
      <c r="L40" s="680"/>
      <c r="M40" s="682"/>
      <c r="N40" s="682"/>
      <c r="O40" s="673"/>
      <c r="P40" s="673"/>
      <c r="Q40" s="683"/>
      <c r="R40" s="593"/>
      <c r="S40" s="593"/>
      <c r="T40" s="593"/>
      <c r="U40" s="593"/>
      <c r="V40" s="593"/>
      <c r="W40" s="593"/>
      <c r="X40" s="684"/>
      <c r="Y40" s="685"/>
      <c r="Z40" s="686">
        <f>SUM(Z6,Z9,Z12,Z15,Z18,Z21,Z24,Z27,Z30,Z33,Z36,Z39)</f>
        <v>6795697.792000018</v>
      </c>
      <c r="AA40" s="685"/>
      <c r="AB40" s="685">
        <f>SUM(AB5:AB39)</f>
        <v>365</v>
      </c>
      <c r="AC40" s="685">
        <f>SUM(AC6:AC39)</f>
        <v>1001265466</v>
      </c>
      <c r="AD40" s="90">
        <f>SUM(AD4:AD39)</f>
        <v>105766666.66</v>
      </c>
    </row>
    <row r="41" spans="1:30" ht="15">
      <c r="A41" s="677"/>
      <c r="B41" s="678"/>
      <c r="C41" s="593"/>
      <c r="D41" s="593"/>
      <c r="E41" s="593"/>
      <c r="F41" s="593"/>
      <c r="G41" s="593">
        <f>SUM(G6,G9,G12,G15,G18,G21,G24,G27,G30,G33,G36,G39)</f>
        <v>-171425771.264</v>
      </c>
      <c r="H41" s="593"/>
      <c r="I41" s="593">
        <f>SUM(I6,I9,I12,I15,I18,I21,I24,I27,I30,I33,I36,I39)</f>
        <v>-12286659.450000018</v>
      </c>
      <c r="J41" s="593"/>
      <c r="K41" s="593"/>
      <c r="L41" s="593"/>
      <c r="M41" s="593"/>
      <c r="N41" s="593"/>
      <c r="O41" s="687">
        <f>SUM(O6,O9,O12,O15,O18,O21,O24,O27,O30,O33,O36,O39)</f>
        <v>254711130</v>
      </c>
      <c r="P41" s="687">
        <f>SUM(P6,P9,P12,P15,P18,P21,P24,P27,P30,P33,P36,P39)</f>
        <v>14511211.6</v>
      </c>
      <c r="Q41" s="687">
        <f>SUM(Q6,Q9,Q12,Q15,Q18,Q21,Q24,Q27,Q30,Q33,Q36,Q39)</f>
        <v>240226118.4</v>
      </c>
      <c r="R41" s="688">
        <f>(P41/O41)*100</f>
        <v>5.697125052996309</v>
      </c>
      <c r="S41" s="593"/>
      <c r="T41" s="593"/>
      <c r="U41" s="593"/>
      <c r="V41" s="593">
        <f>SUM(V6,V9,V12,V15,V18,V21,V24,V27,V30,V33,V36,V39)</f>
        <v>722169593.66</v>
      </c>
      <c r="W41" s="593"/>
      <c r="X41" s="593"/>
      <c r="Y41" s="685">
        <f>SUM(Y6,Y9,Y12,Y15,Y18,Y21,Y24,Y27,Y30,Y33,Y36,Y39)</f>
        <v>728965291.452</v>
      </c>
      <c r="Z41" s="689">
        <f>Z40/10000000</f>
        <v>0.6795697792000018</v>
      </c>
      <c r="AA41" s="685"/>
      <c r="AB41" s="685"/>
      <c r="AC41" s="686">
        <f>AC40/10000000</f>
        <v>100.1265466</v>
      </c>
      <c r="AD41" s="690">
        <f>AD40/10000000</f>
        <v>10.576666666</v>
      </c>
    </row>
    <row r="42" spans="1:29" ht="15">
      <c r="A42" s="593"/>
      <c r="B42" s="593"/>
      <c r="C42" s="593"/>
      <c r="D42" s="593"/>
      <c r="E42" s="593"/>
      <c r="F42" s="593"/>
      <c r="G42" s="688">
        <f>G41/10000000</f>
        <v>-17.1425771264</v>
      </c>
      <c r="H42" s="593"/>
      <c r="I42" s="688">
        <f>I41/10000000</f>
        <v>-1.2286659450000017</v>
      </c>
      <c r="J42" s="593"/>
      <c r="K42" s="593"/>
      <c r="L42" s="687">
        <f>SUM(L6,L9,L12,L15,L18,L21,L24,L27,L30,L33,L36,L39)</f>
        <v>62666113</v>
      </c>
      <c r="M42" s="687">
        <f>SUM(M6,M9,M12,M15,M18,M21,M24,M27,M30,M33,M36,M39)</f>
        <v>662631702506.081</v>
      </c>
      <c r="N42" s="593"/>
      <c r="O42" s="686">
        <f>O41/1000000</f>
        <v>254.71113</v>
      </c>
      <c r="P42" s="686">
        <f>P41/1000000</f>
        <v>14.5112116</v>
      </c>
      <c r="Q42" s="686">
        <f>Q41/1000000</f>
        <v>240.22611840000002</v>
      </c>
      <c r="R42" s="593"/>
      <c r="S42" s="593"/>
      <c r="T42" s="593"/>
      <c r="U42" s="593"/>
      <c r="V42" s="686">
        <f>V41/10000000</f>
        <v>72.216959366</v>
      </c>
      <c r="W42" s="593"/>
      <c r="X42" s="593"/>
      <c r="Y42" s="686">
        <f>Y41/10000000</f>
        <v>72.8965291452</v>
      </c>
      <c r="Z42" s="685"/>
      <c r="AA42" s="685"/>
      <c r="AB42" s="685"/>
      <c r="AC42" s="685"/>
    </row>
    <row r="43" spans="1:29" ht="15">
      <c r="A43" s="593"/>
      <c r="B43" s="593"/>
      <c r="C43" s="593"/>
      <c r="D43" s="593"/>
      <c r="E43" s="593"/>
      <c r="F43" s="593"/>
      <c r="G43" s="593"/>
      <c r="H43" s="593"/>
      <c r="I43" s="593"/>
      <c r="J43" s="593"/>
      <c r="K43" s="593"/>
      <c r="L43" s="593"/>
      <c r="M43" s="593"/>
      <c r="N43" s="593"/>
      <c r="O43" s="593"/>
      <c r="P43" s="688">
        <f>P41*100/O41</f>
        <v>5.69712505299631</v>
      </c>
      <c r="Q43" s="593"/>
      <c r="R43" s="593"/>
      <c r="S43" s="593"/>
      <c r="T43" s="593"/>
      <c r="U43" s="593"/>
      <c r="V43" s="593"/>
      <c r="W43" s="593"/>
      <c r="X43" s="593"/>
      <c r="Y43" s="593"/>
      <c r="Z43" s="593"/>
      <c r="AA43" s="593"/>
      <c r="AB43" s="593"/>
      <c r="AC43" s="593"/>
    </row>
    <row r="44" spans="1:29" ht="15">
      <c r="A44" s="1295" t="s">
        <v>1186</v>
      </c>
      <c r="B44" s="1295"/>
      <c r="C44" s="1295"/>
      <c r="D44" s="1295"/>
      <c r="E44" s="1295"/>
      <c r="F44" s="1295"/>
      <c r="G44" s="1295"/>
      <c r="H44" s="1295"/>
      <c r="I44" s="1295"/>
      <c r="J44" s="1295"/>
      <c r="K44" s="593" t="s">
        <v>1185</v>
      </c>
      <c r="L44" s="593"/>
      <c r="M44" s="691">
        <f>M42/L42</f>
        <v>10574.003568820059</v>
      </c>
      <c r="N44" s="593"/>
      <c r="O44" s="593" t="s">
        <v>1184</v>
      </c>
      <c r="P44" s="593"/>
      <c r="Q44" s="593"/>
      <c r="R44" s="593"/>
      <c r="S44" s="593"/>
      <c r="T44" s="593"/>
      <c r="U44" s="593" t="s">
        <v>1183</v>
      </c>
      <c r="V44" s="688">
        <f>(O41*100)/(780000*AB40)</f>
        <v>89.46650158061117</v>
      </c>
      <c r="W44" s="593"/>
      <c r="X44" s="593"/>
      <c r="Y44" s="593"/>
      <c r="Z44" s="593">
        <f>Q15*X15</f>
        <v>56246736</v>
      </c>
      <c r="AA44" s="593"/>
      <c r="AB44" s="593"/>
      <c r="AC44" s="593"/>
    </row>
    <row r="45" spans="1:29" ht="15">
      <c r="A45" s="593"/>
      <c r="B45" s="593"/>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f>19928367.8*2.87</f>
        <v>57194415.586</v>
      </c>
      <c r="AA45" s="593"/>
      <c r="AB45" s="593"/>
      <c r="AC45" s="593"/>
    </row>
    <row r="46" spans="1:29" ht="15">
      <c r="A46" s="1295" t="s">
        <v>1182</v>
      </c>
      <c r="B46" s="1295"/>
      <c r="C46" s="1295"/>
      <c r="D46" s="1295"/>
      <c r="E46" s="684">
        <f>ROUND((L42*M44)/O41,2)</f>
        <v>2601.5</v>
      </c>
      <c r="F46" s="684"/>
      <c r="G46" s="691">
        <f>(L42*M44)/O41</f>
        <v>2601.5027396175465</v>
      </c>
      <c r="H46" s="593"/>
      <c r="I46" s="593"/>
      <c r="J46" s="593" t="s">
        <v>1181</v>
      </c>
      <c r="K46" s="593"/>
      <c r="L46" s="593"/>
      <c r="M46" s="593"/>
      <c r="N46" s="593"/>
      <c r="O46" s="593"/>
      <c r="P46" s="593"/>
      <c r="Q46" s="593"/>
      <c r="R46" s="593"/>
      <c r="S46" s="593"/>
      <c r="T46" s="593"/>
      <c r="U46" s="593"/>
      <c r="V46" s="593"/>
      <c r="W46" s="593"/>
      <c r="X46" s="593"/>
      <c r="Y46" s="593"/>
      <c r="Z46" s="593"/>
      <c r="AA46" s="593"/>
      <c r="AB46" s="593"/>
      <c r="AC46" s="593"/>
    </row>
    <row r="47" spans="1:29" ht="15">
      <c r="A47" s="593"/>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row>
    <row r="48" spans="1:29" ht="15">
      <c r="A48" s="593" t="s">
        <v>1180</v>
      </c>
      <c r="B48" s="593"/>
      <c r="C48" s="593"/>
      <c r="D48" s="593"/>
      <c r="E48" s="593"/>
      <c r="F48" s="593"/>
      <c r="G48" s="593"/>
      <c r="H48" s="593"/>
      <c r="I48" s="593" t="s">
        <v>1179</v>
      </c>
      <c r="J48" s="593"/>
      <c r="K48" s="593" t="s">
        <v>1178</v>
      </c>
      <c r="L48" s="686">
        <f>(2646*C50*100)/(M44*(100-5))</f>
        <v>3.0355208713464044</v>
      </c>
      <c r="M48" s="593"/>
      <c r="N48" s="593"/>
      <c r="O48" s="593"/>
      <c r="P48" s="593"/>
      <c r="Q48" s="593"/>
      <c r="R48" s="593"/>
      <c r="S48" s="593"/>
      <c r="T48" s="593"/>
      <c r="U48" s="593"/>
      <c r="V48" s="593"/>
      <c r="W48" s="593"/>
      <c r="X48" s="593"/>
      <c r="Y48" s="593"/>
      <c r="Z48" s="593"/>
      <c r="AA48" s="593"/>
      <c r="AB48" s="593"/>
      <c r="AC48" s="593"/>
    </row>
    <row r="49" spans="1:29" ht="15">
      <c r="A49" s="593"/>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row>
    <row r="50" spans="1:29" ht="15">
      <c r="A50" s="593"/>
      <c r="B50" s="593" t="s">
        <v>1177</v>
      </c>
      <c r="C50" s="692">
        <f>V41/L42</f>
        <v>11.52408469406743</v>
      </c>
      <c r="D50" s="686">
        <f>V41*1000/L42</f>
        <v>11524.08469406743</v>
      </c>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row>
    <row r="51" spans="1:29" ht="15">
      <c r="A51" s="593"/>
      <c r="B51" s="593"/>
      <c r="C51" s="693"/>
      <c r="D51" s="593"/>
      <c r="E51" s="593"/>
      <c r="F51" s="593"/>
      <c r="G51" s="694"/>
      <c r="H51" s="695"/>
      <c r="I51" s="610"/>
      <c r="J51" s="593"/>
      <c r="K51" s="593"/>
      <c r="L51" s="593"/>
      <c r="M51" s="593"/>
      <c r="N51" s="593"/>
      <c r="O51" s="593"/>
      <c r="P51" s="593"/>
      <c r="Q51" s="593"/>
      <c r="R51" s="593"/>
      <c r="S51" s="593"/>
      <c r="T51" s="593"/>
      <c r="U51" s="593"/>
      <c r="V51" s="593"/>
      <c r="W51" s="593"/>
      <c r="X51" s="593"/>
      <c r="Y51" s="593"/>
      <c r="Z51" s="593"/>
      <c r="AA51" s="593"/>
      <c r="AB51" s="593"/>
      <c r="AC51" s="593"/>
    </row>
  </sheetData>
  <sheetProtection/>
  <mergeCells count="38">
    <mergeCell ref="A1:Z1"/>
    <mergeCell ref="D2:G2"/>
    <mergeCell ref="H2:I2"/>
    <mergeCell ref="J2:L2"/>
    <mergeCell ref="A4:A6"/>
    <mergeCell ref="B4:B6"/>
    <mergeCell ref="A7:A8"/>
    <mergeCell ref="B7:B8"/>
    <mergeCell ref="T7:T8"/>
    <mergeCell ref="A10:A11"/>
    <mergeCell ref="B10:B11"/>
    <mergeCell ref="T10:T11"/>
    <mergeCell ref="A13:A14"/>
    <mergeCell ref="B13:B14"/>
    <mergeCell ref="T13:T14"/>
    <mergeCell ref="A16:A17"/>
    <mergeCell ref="B16:B17"/>
    <mergeCell ref="T16:T17"/>
    <mergeCell ref="A19:A20"/>
    <mergeCell ref="B19:B20"/>
    <mergeCell ref="T19:T20"/>
    <mergeCell ref="A23:A24"/>
    <mergeCell ref="B23:B24"/>
    <mergeCell ref="T23:T24"/>
    <mergeCell ref="B26:B27"/>
    <mergeCell ref="A28:A29"/>
    <mergeCell ref="B28:B29"/>
    <mergeCell ref="T28:T29"/>
    <mergeCell ref="A31:A32"/>
    <mergeCell ref="B31:B32"/>
    <mergeCell ref="T31:T32"/>
    <mergeCell ref="A46:D46"/>
    <mergeCell ref="A34:A35"/>
    <mergeCell ref="B34:B35"/>
    <mergeCell ref="T34:T35"/>
    <mergeCell ref="A37:A38"/>
    <mergeCell ref="B37:B38"/>
    <mergeCell ref="A44:J44"/>
  </mergeCells>
  <printOptions horizontalCentered="1" verticalCentered="1"/>
  <pageMargins left="0.21" right="0.16" top="0.27" bottom="0.2" header="0.3" footer="0.3"/>
  <pageSetup horizontalDpi="600" verticalDpi="600" orientation="landscape" paperSize="9" scale="45" r:id="rId1"/>
</worksheet>
</file>

<file path=xl/worksheets/sheet31.xml><?xml version="1.0" encoding="utf-8"?>
<worksheet xmlns="http://schemas.openxmlformats.org/spreadsheetml/2006/main" xmlns:r="http://schemas.openxmlformats.org/officeDocument/2006/relationships">
  <dimension ref="A1:Y80"/>
  <sheetViews>
    <sheetView zoomScalePageLayoutView="0" workbookViewId="0" topLeftCell="E53">
      <selection activeCell="L80" sqref="L80"/>
    </sheetView>
  </sheetViews>
  <sheetFormatPr defaultColWidth="9.33203125" defaultRowHeight="12.75"/>
  <cols>
    <col min="1" max="1" width="5" style="90" customWidth="1"/>
    <col min="2" max="2" width="25.16015625" style="90" customWidth="1"/>
    <col min="3" max="3" width="10.16015625" style="90" customWidth="1"/>
    <col min="4" max="4" width="12" style="90" customWidth="1"/>
    <col min="5" max="5" width="11.33203125" style="90" customWidth="1"/>
    <col min="6" max="6" width="11.83203125" style="90" customWidth="1"/>
    <col min="7" max="7" width="13.83203125" style="90" customWidth="1"/>
    <col min="8" max="8" width="13.16015625" style="90" customWidth="1"/>
    <col min="9" max="9" width="12" style="90" customWidth="1"/>
    <col min="10" max="10" width="12.16015625" style="90" customWidth="1"/>
    <col min="11" max="11" width="12" style="90" customWidth="1"/>
    <col min="12" max="12" width="11.83203125" style="90" customWidth="1"/>
    <col min="13" max="13" width="12.33203125" style="90" customWidth="1"/>
    <col min="14" max="14" width="11.66015625" style="90" customWidth="1"/>
    <col min="15" max="15" width="11.33203125" style="90" customWidth="1"/>
    <col min="16" max="16" width="12.33203125" style="90" customWidth="1"/>
    <col min="17" max="17" width="11" style="90" customWidth="1"/>
    <col min="18" max="18" width="11.66015625" style="90" customWidth="1"/>
    <col min="19" max="19" width="11.83203125" style="90" customWidth="1"/>
    <col min="20" max="20" width="12.16015625" style="90" customWidth="1"/>
    <col min="21" max="21" width="11.83203125" style="90" customWidth="1"/>
    <col min="22" max="22" width="15.66015625" style="90" bestFit="1" customWidth="1"/>
    <col min="23" max="23" width="11.83203125" style="90" bestFit="1" customWidth="1"/>
    <col min="24" max="24" width="15.66015625" style="90" bestFit="1" customWidth="1"/>
    <col min="25" max="25" width="10.83203125" style="90" bestFit="1" customWidth="1"/>
    <col min="26" max="16384" width="9.33203125" style="90" customWidth="1"/>
  </cols>
  <sheetData>
    <row r="1" spans="1:21" ht="18.75">
      <c r="A1" s="1322" t="s">
        <v>1776</v>
      </c>
      <c r="B1" s="1322"/>
      <c r="C1" s="1322"/>
      <c r="D1" s="1322"/>
      <c r="E1" s="1322"/>
      <c r="F1" s="1322"/>
      <c r="G1" s="1322"/>
      <c r="H1" s="1322"/>
      <c r="I1" s="1322"/>
      <c r="J1" s="1322"/>
      <c r="K1" s="1322"/>
      <c r="L1" s="1322"/>
      <c r="M1" s="526"/>
      <c r="N1" s="526"/>
      <c r="O1" s="526"/>
      <c r="P1" s="526"/>
      <c r="Q1" s="526"/>
      <c r="R1" s="526"/>
      <c r="S1" s="526"/>
      <c r="T1" s="527"/>
      <c r="U1" s="527"/>
    </row>
    <row r="2" spans="1:21" ht="15">
      <c r="A2" s="1323" t="s">
        <v>1777</v>
      </c>
      <c r="B2" s="1323"/>
      <c r="C2" s="1323"/>
      <c r="D2" s="1323"/>
      <c r="E2" s="1323"/>
      <c r="F2" s="1323"/>
      <c r="G2" s="1323"/>
      <c r="H2" s="1323"/>
      <c r="I2" s="1323"/>
      <c r="J2" s="1323"/>
      <c r="K2" s="1323"/>
      <c r="L2" s="1323"/>
      <c r="M2" s="528"/>
      <c r="N2" s="528"/>
      <c r="O2" s="528"/>
      <c r="P2" s="528"/>
      <c r="Q2" s="528"/>
      <c r="R2" s="528"/>
      <c r="S2" s="528"/>
      <c r="T2" s="529"/>
      <c r="U2" s="529"/>
    </row>
    <row r="3" spans="1:21" ht="15">
      <c r="A3" s="1324" t="s">
        <v>1778</v>
      </c>
      <c r="B3" s="1324"/>
      <c r="C3" s="1324"/>
      <c r="D3" s="1324"/>
      <c r="E3" s="1324"/>
      <c r="F3" s="1324"/>
      <c r="G3" s="1324"/>
      <c r="H3" s="1324"/>
      <c r="I3" s="1324"/>
      <c r="J3" s="1324"/>
      <c r="K3" s="1324"/>
      <c r="L3" s="1324"/>
      <c r="M3" s="528"/>
      <c r="N3" s="528"/>
      <c r="O3" s="528"/>
      <c r="P3" s="528"/>
      <c r="Q3" s="528"/>
      <c r="R3" s="528"/>
      <c r="S3" s="528"/>
      <c r="T3" s="529"/>
      <c r="U3" s="529"/>
    </row>
    <row r="4" spans="1:16" ht="15">
      <c r="A4" s="530"/>
      <c r="B4" s="530"/>
      <c r="C4" s="530"/>
      <c r="D4" s="530"/>
      <c r="E4" s="530"/>
      <c r="F4" s="530"/>
      <c r="G4" s="530"/>
      <c r="H4" s="530"/>
      <c r="I4" s="530"/>
      <c r="J4" s="530"/>
      <c r="K4" s="530"/>
      <c r="L4" s="530"/>
      <c r="M4" s="530"/>
      <c r="N4" s="531"/>
      <c r="O4" s="531"/>
      <c r="P4" s="375"/>
    </row>
    <row r="5" spans="1:21" ht="15">
      <c r="A5" s="1325" t="s">
        <v>1779</v>
      </c>
      <c r="B5" s="1325"/>
      <c r="C5" s="1325"/>
      <c r="D5" s="1325"/>
      <c r="E5" s="1325"/>
      <c r="F5" s="1325"/>
      <c r="G5" s="1325"/>
      <c r="H5" s="1325"/>
      <c r="I5" s="1325"/>
      <c r="J5" s="1325"/>
      <c r="K5" s="1325"/>
      <c r="L5" s="1325"/>
      <c r="M5" s="528"/>
      <c r="N5" s="528"/>
      <c r="O5" s="528"/>
      <c r="P5" s="528"/>
      <c r="Q5" s="528"/>
      <c r="R5" s="528"/>
      <c r="S5" s="528"/>
      <c r="T5" s="529"/>
      <c r="U5" s="529"/>
    </row>
    <row r="6" spans="1:21" ht="12.75">
      <c r="A6" s="532" t="s">
        <v>1780</v>
      </c>
      <c r="B6" s="533" t="s">
        <v>1781</v>
      </c>
      <c r="C6" s="533" t="s">
        <v>1782</v>
      </c>
      <c r="D6" s="534" t="s">
        <v>1783</v>
      </c>
      <c r="E6" s="534" t="s">
        <v>1784</v>
      </c>
      <c r="F6" s="534" t="s">
        <v>1785</v>
      </c>
      <c r="G6" s="534" t="s">
        <v>1786</v>
      </c>
      <c r="H6" s="534" t="s">
        <v>1787</v>
      </c>
      <c r="I6" s="534" t="s">
        <v>1788</v>
      </c>
      <c r="J6" s="534" t="s">
        <v>1789</v>
      </c>
      <c r="K6" s="534" t="s">
        <v>1790</v>
      </c>
      <c r="L6" s="534" t="s">
        <v>1791</v>
      </c>
      <c r="M6" s="535"/>
      <c r="N6" s="535"/>
      <c r="O6" s="535"/>
      <c r="P6" s="536"/>
      <c r="Q6" s="536"/>
      <c r="R6" s="536"/>
      <c r="S6" s="536"/>
      <c r="T6" s="536"/>
      <c r="U6" s="536"/>
    </row>
    <row r="7" spans="1:21" ht="12.75">
      <c r="A7" s="537">
        <v>1</v>
      </c>
      <c r="B7" s="538" t="s">
        <v>1792</v>
      </c>
      <c r="C7" s="537" t="s">
        <v>1793</v>
      </c>
      <c r="D7" s="538">
        <v>156825600</v>
      </c>
      <c r="E7" s="538">
        <v>167367000</v>
      </c>
      <c r="F7" s="538">
        <v>179571000</v>
      </c>
      <c r="G7" s="538">
        <v>190251000</v>
      </c>
      <c r="H7" s="538">
        <v>189116000</v>
      </c>
      <c r="I7" s="538">
        <v>179123000</v>
      </c>
      <c r="J7" s="538">
        <v>186442100</v>
      </c>
      <c r="K7" s="538">
        <v>189190600</v>
      </c>
      <c r="L7" s="538">
        <v>177588300</v>
      </c>
      <c r="M7" s="539"/>
      <c r="N7" s="540"/>
      <c r="O7" s="539"/>
      <c r="P7" s="540"/>
      <c r="Q7" s="540"/>
      <c r="R7" s="540"/>
      <c r="S7" s="540"/>
      <c r="T7" s="540"/>
      <c r="U7" s="540"/>
    </row>
    <row r="8" spans="1:21" ht="12.75">
      <c r="A8" s="537">
        <v>2</v>
      </c>
      <c r="B8" s="538" t="s">
        <v>1794</v>
      </c>
      <c r="C8" s="537" t="s">
        <v>1793</v>
      </c>
      <c r="D8" s="538">
        <v>77311100</v>
      </c>
      <c r="E8" s="538">
        <v>81983700</v>
      </c>
      <c r="F8" s="538">
        <v>84429900</v>
      </c>
      <c r="G8" s="538">
        <v>85170600</v>
      </c>
      <c r="H8" s="538">
        <v>86293400</v>
      </c>
      <c r="I8" s="538">
        <v>79259990</v>
      </c>
      <c r="J8" s="538">
        <v>84153900</v>
      </c>
      <c r="K8" s="538">
        <v>84431650</v>
      </c>
      <c r="L8" s="538">
        <v>79950640</v>
      </c>
      <c r="M8" s="539"/>
      <c r="N8" s="540"/>
      <c r="O8" s="539"/>
      <c r="P8" s="540"/>
      <c r="Q8" s="540"/>
      <c r="R8" s="540"/>
      <c r="S8" s="540"/>
      <c r="T8" s="540"/>
      <c r="U8" s="540"/>
    </row>
    <row r="9" spans="1:24" ht="12.75">
      <c r="A9" s="537">
        <v>3</v>
      </c>
      <c r="B9" s="538" t="s">
        <v>1795</v>
      </c>
      <c r="C9" s="537" t="s">
        <v>1793</v>
      </c>
      <c r="D9" s="538">
        <v>234136700</v>
      </c>
      <c r="E9" s="538">
        <v>249350700</v>
      </c>
      <c r="F9" s="538">
        <v>264000900</v>
      </c>
      <c r="G9" s="538">
        <v>275421600</v>
      </c>
      <c r="H9" s="538">
        <v>275409400</v>
      </c>
      <c r="I9" s="538">
        <v>258382990</v>
      </c>
      <c r="J9" s="538">
        <v>270596000</v>
      </c>
      <c r="K9" s="538">
        <v>273622250</v>
      </c>
      <c r="L9" s="538">
        <v>257538940</v>
      </c>
      <c r="M9" s="539"/>
      <c r="N9" s="540"/>
      <c r="O9" s="539"/>
      <c r="P9" s="540"/>
      <c r="Q9" s="540"/>
      <c r="R9" s="540"/>
      <c r="S9" s="540"/>
      <c r="T9" s="541"/>
      <c r="U9" s="541"/>
      <c r="V9" s="90">
        <f>SUM(D9:S9)</f>
        <v>2358459480</v>
      </c>
      <c r="W9" s="542">
        <v>246643350</v>
      </c>
      <c r="X9" s="90">
        <f>V9+W9</f>
        <v>2605102830</v>
      </c>
    </row>
    <row r="10" spans="1:21" ht="12.75">
      <c r="A10" s="537">
        <v>4</v>
      </c>
      <c r="B10" s="538" t="s">
        <v>1796</v>
      </c>
      <c r="C10" s="537" t="s">
        <v>1793</v>
      </c>
      <c r="D10" s="538">
        <v>106137238</v>
      </c>
      <c r="E10" s="538">
        <v>47205000</v>
      </c>
      <c r="F10" s="538">
        <v>0</v>
      </c>
      <c r="G10" s="538">
        <v>0</v>
      </c>
      <c r="H10" s="538">
        <v>0</v>
      </c>
      <c r="I10" s="538">
        <v>0</v>
      </c>
      <c r="J10" s="538">
        <v>0</v>
      </c>
      <c r="K10" s="538">
        <v>0</v>
      </c>
      <c r="L10" s="538">
        <v>0</v>
      </c>
      <c r="M10" s="539"/>
      <c r="N10" s="540"/>
      <c r="O10" s="539"/>
      <c r="P10" s="540"/>
      <c r="Q10" s="540"/>
      <c r="R10" s="540"/>
      <c r="S10" s="540"/>
      <c r="T10" s="540"/>
      <c r="U10" s="540"/>
    </row>
    <row r="11" spans="1:21" ht="12.75">
      <c r="A11" s="537">
        <v>5</v>
      </c>
      <c r="B11" s="538" t="s">
        <v>1797</v>
      </c>
      <c r="C11" s="537" t="s">
        <v>1793</v>
      </c>
      <c r="D11" s="538">
        <v>115307484</v>
      </c>
      <c r="E11" s="538">
        <v>189293000</v>
      </c>
      <c r="F11" s="538">
        <v>249670000</v>
      </c>
      <c r="G11" s="538">
        <v>260363523.4</v>
      </c>
      <c r="H11" s="538">
        <v>259855815</v>
      </c>
      <c r="I11" s="538">
        <v>242890986</v>
      </c>
      <c r="J11" s="538">
        <v>254648268</v>
      </c>
      <c r="K11" s="538">
        <v>257256171.6</v>
      </c>
      <c r="L11" s="538">
        <v>242245454.2</v>
      </c>
      <c r="M11" s="539"/>
      <c r="N11" s="540"/>
      <c r="O11" s="539"/>
      <c r="P11" s="543"/>
      <c r="Q11" s="540"/>
      <c r="R11" s="544"/>
      <c r="S11" s="540"/>
      <c r="T11" s="540"/>
      <c r="U11" s="540"/>
    </row>
    <row r="12" spans="1:21" ht="12.75">
      <c r="A12" s="537">
        <v>6</v>
      </c>
      <c r="B12" s="538" t="s">
        <v>1798</v>
      </c>
      <c r="C12" s="537" t="s">
        <v>1793</v>
      </c>
      <c r="D12" s="538">
        <v>221444722</v>
      </c>
      <c r="E12" s="538">
        <v>236498000</v>
      </c>
      <c r="F12" s="538">
        <v>249670000</v>
      </c>
      <c r="G12" s="538">
        <v>260363523.4</v>
      </c>
      <c r="H12" s="538">
        <v>259855815</v>
      </c>
      <c r="I12" s="538">
        <v>242890986</v>
      </c>
      <c r="J12" s="538">
        <v>254648268</v>
      </c>
      <c r="K12" s="538">
        <v>257256171.6</v>
      </c>
      <c r="L12" s="538">
        <v>242245454.2</v>
      </c>
      <c r="M12" s="545"/>
      <c r="N12" s="540"/>
      <c r="O12" s="539"/>
      <c r="P12" s="543"/>
      <c r="Q12" s="540"/>
      <c r="R12" s="544"/>
      <c r="S12" s="540"/>
      <c r="T12" s="540"/>
      <c r="U12" s="540"/>
    </row>
    <row r="13" spans="1:21" ht="22.5" customHeight="1">
      <c r="A13" s="537">
        <v>7</v>
      </c>
      <c r="B13" s="546" t="s">
        <v>1799</v>
      </c>
      <c r="C13" s="537" t="s">
        <v>1793</v>
      </c>
      <c r="D13" s="547">
        <v>221444720.5</v>
      </c>
      <c r="E13" s="538">
        <v>236138000.2</v>
      </c>
      <c r="F13" s="538">
        <v>249710000</v>
      </c>
      <c r="G13" s="538">
        <v>260338421</v>
      </c>
      <c r="H13" s="538">
        <v>259864651</v>
      </c>
      <c r="I13" s="547">
        <v>242875173.6</v>
      </c>
      <c r="J13" s="538">
        <v>254648268</v>
      </c>
      <c r="K13" s="547">
        <v>257248697.2</v>
      </c>
      <c r="L13" s="547">
        <v>242241454.2</v>
      </c>
      <c r="M13" s="545"/>
      <c r="N13" s="548"/>
      <c r="O13" s="549"/>
      <c r="P13" s="543"/>
      <c r="Q13" s="540"/>
      <c r="R13" s="540"/>
      <c r="S13" s="540"/>
      <c r="T13" s="540"/>
      <c r="U13" s="540"/>
    </row>
    <row r="14" spans="1:21" ht="12.75">
      <c r="A14" s="537">
        <v>8</v>
      </c>
      <c r="B14" s="538" t="s">
        <v>1219</v>
      </c>
      <c r="C14" s="537" t="s">
        <v>1284</v>
      </c>
      <c r="D14" s="538">
        <v>82.24</v>
      </c>
      <c r="E14" s="538">
        <v>87.58</v>
      </c>
      <c r="F14" s="538">
        <v>92.73</v>
      </c>
      <c r="G14" s="538">
        <v>96.48</v>
      </c>
      <c r="H14" s="538">
        <v>96.74</v>
      </c>
      <c r="I14" s="538">
        <v>90.76</v>
      </c>
      <c r="J14" s="538">
        <v>95.05</v>
      </c>
      <c r="K14" s="538">
        <v>95.85</v>
      </c>
      <c r="L14" s="538">
        <v>90.46</v>
      </c>
      <c r="M14" s="545"/>
      <c r="N14" s="540"/>
      <c r="O14" s="539"/>
      <c r="P14" s="540"/>
      <c r="Q14" s="540"/>
      <c r="R14" s="540"/>
      <c r="S14" s="540"/>
      <c r="T14" s="543"/>
      <c r="U14" s="543"/>
    </row>
    <row r="15" spans="1:21" ht="12.75">
      <c r="A15" s="537">
        <v>9</v>
      </c>
      <c r="B15" s="538" t="s">
        <v>1800</v>
      </c>
      <c r="C15" s="537" t="s">
        <v>1801</v>
      </c>
      <c r="D15" s="538">
        <v>60177383</v>
      </c>
      <c r="E15" s="538">
        <v>62137676</v>
      </c>
      <c r="F15" s="538">
        <v>62900970</v>
      </c>
      <c r="G15" s="538">
        <v>66302910</v>
      </c>
      <c r="H15" s="538">
        <v>66514507</v>
      </c>
      <c r="I15" s="538">
        <v>62678936</v>
      </c>
      <c r="J15" s="538">
        <v>66515113</v>
      </c>
      <c r="K15" s="538">
        <v>67377883</v>
      </c>
      <c r="L15" s="538">
        <v>64659402</v>
      </c>
      <c r="M15" s="545"/>
      <c r="N15" s="540"/>
      <c r="O15" s="539"/>
      <c r="P15" s="540"/>
      <c r="Q15" s="540"/>
      <c r="R15" s="540"/>
      <c r="S15" s="540"/>
      <c r="T15" s="540"/>
      <c r="U15" s="540"/>
    </row>
    <row r="16" spans="1:21" ht="12.75">
      <c r="A16" s="537">
        <v>10</v>
      </c>
      <c r="B16" s="538" t="s">
        <v>1802</v>
      </c>
      <c r="C16" s="537" t="s">
        <v>1803</v>
      </c>
      <c r="D16" s="538">
        <v>3.89</v>
      </c>
      <c r="E16" s="538">
        <v>4.01</v>
      </c>
      <c r="F16" s="538">
        <v>4.2</v>
      </c>
      <c r="G16" s="538">
        <v>4.15</v>
      </c>
      <c r="H16" s="538">
        <v>4.14</v>
      </c>
      <c r="I16" s="538">
        <v>4.12</v>
      </c>
      <c r="J16" s="538">
        <v>4.07</v>
      </c>
      <c r="K16" s="538">
        <v>4.06</v>
      </c>
      <c r="L16" s="538">
        <v>3.98</v>
      </c>
      <c r="M16" s="545"/>
      <c r="N16" s="540"/>
      <c r="O16" s="539"/>
      <c r="P16" s="540"/>
      <c r="Q16" s="540"/>
      <c r="R16" s="540"/>
      <c r="S16" s="543"/>
      <c r="T16" s="543"/>
      <c r="U16" s="543"/>
    </row>
    <row r="17" spans="1:25" ht="12.75">
      <c r="A17" s="537">
        <v>11</v>
      </c>
      <c r="B17" s="538" t="s">
        <v>1804</v>
      </c>
      <c r="C17" s="537" t="s">
        <v>1793</v>
      </c>
      <c r="D17" s="538">
        <v>12750700</v>
      </c>
      <c r="E17" s="538">
        <v>13214700</v>
      </c>
      <c r="F17" s="538">
        <v>14330900</v>
      </c>
      <c r="G17" s="538">
        <v>15058076.6</v>
      </c>
      <c r="H17" s="538">
        <v>15553585</v>
      </c>
      <c r="I17" s="538">
        <v>15492004</v>
      </c>
      <c r="J17" s="538">
        <v>15965732</v>
      </c>
      <c r="K17" s="538">
        <v>1633078.4</v>
      </c>
      <c r="L17" s="538">
        <v>15293485.8</v>
      </c>
      <c r="M17" s="545"/>
      <c r="N17" s="540"/>
      <c r="O17" s="539"/>
      <c r="P17" s="540"/>
      <c r="Q17" s="540"/>
      <c r="R17" s="550"/>
      <c r="S17" s="540"/>
      <c r="T17" s="540"/>
      <c r="U17" s="540"/>
      <c r="X17" s="90" t="s">
        <v>1805</v>
      </c>
      <c r="Y17" s="90">
        <v>43.82</v>
      </c>
    </row>
    <row r="18" spans="1:25" ht="12.75">
      <c r="A18" s="537">
        <v>12</v>
      </c>
      <c r="B18" s="538" t="s">
        <v>1806</v>
      </c>
      <c r="C18" s="537" t="s">
        <v>1284</v>
      </c>
      <c r="D18" s="538">
        <v>5.45</v>
      </c>
      <c r="E18" s="538">
        <v>5.3</v>
      </c>
      <c r="F18" s="538">
        <v>5.43</v>
      </c>
      <c r="G18" s="538">
        <v>5.47</v>
      </c>
      <c r="H18" s="538">
        <v>5.65</v>
      </c>
      <c r="I18" s="538">
        <v>6</v>
      </c>
      <c r="J18" s="538">
        <v>5.9</v>
      </c>
      <c r="K18" s="538">
        <v>5.98</v>
      </c>
      <c r="L18" s="538">
        <v>5.94</v>
      </c>
      <c r="M18" s="545"/>
      <c r="N18" s="540"/>
      <c r="O18" s="551"/>
      <c r="P18" s="552"/>
      <c r="Q18" s="543"/>
      <c r="R18" s="553"/>
      <c r="S18" s="540"/>
      <c r="T18" s="543"/>
      <c r="U18" s="543"/>
      <c r="X18" s="90" t="s">
        <v>1807</v>
      </c>
      <c r="Y18" s="90">
        <v>30.07</v>
      </c>
    </row>
    <row r="19" spans="1:25" ht="12.75">
      <c r="A19" s="537">
        <v>13</v>
      </c>
      <c r="B19" s="538" t="s">
        <v>1808</v>
      </c>
      <c r="C19" s="537" t="s">
        <v>1809</v>
      </c>
      <c r="D19" s="554">
        <v>2.026388888888889</v>
      </c>
      <c r="E19" s="555">
        <v>0.7319444444444444</v>
      </c>
      <c r="F19" s="554">
        <v>4.051388888888889</v>
      </c>
      <c r="G19" s="554">
        <v>5.075694444444444</v>
      </c>
      <c r="H19" s="554">
        <v>2.73125</v>
      </c>
      <c r="I19" s="554">
        <v>2.28125</v>
      </c>
      <c r="J19" s="554">
        <v>4.367361111111111</v>
      </c>
      <c r="K19" s="554">
        <v>4.215277777777778</v>
      </c>
      <c r="L19" s="554">
        <v>3.384027777777778</v>
      </c>
      <c r="M19" s="556"/>
      <c r="N19" s="557"/>
      <c r="O19" s="557"/>
      <c r="P19" s="558"/>
      <c r="Q19" s="558"/>
      <c r="R19" s="559"/>
      <c r="S19" s="558"/>
      <c r="T19" s="558"/>
      <c r="U19" s="558"/>
      <c r="X19" s="90" t="s">
        <v>1810</v>
      </c>
      <c r="Y19" s="90">
        <v>39.76</v>
      </c>
    </row>
    <row r="20" spans="1:21" ht="12.75">
      <c r="A20" s="537">
        <v>14</v>
      </c>
      <c r="B20" s="538" t="s">
        <v>1811</v>
      </c>
      <c r="C20" s="537" t="s">
        <v>1809</v>
      </c>
      <c r="D20" s="554">
        <v>32.09652777777778</v>
      </c>
      <c r="E20" s="554">
        <v>20.172916666666666</v>
      </c>
      <c r="F20" s="554">
        <v>13.75</v>
      </c>
      <c r="G20" s="554">
        <v>10.25625</v>
      </c>
      <c r="H20" s="554">
        <v>9.358333333333333</v>
      </c>
      <c r="I20" s="554">
        <v>24.117361111111112</v>
      </c>
      <c r="J20" s="554">
        <v>9.172916666666667</v>
      </c>
      <c r="K20" s="554">
        <v>4.242361111111111</v>
      </c>
      <c r="L20" s="554">
        <v>17.611805555555556</v>
      </c>
      <c r="M20" s="556"/>
      <c r="N20" s="557"/>
      <c r="O20" s="557"/>
      <c r="P20" s="558"/>
      <c r="Q20" s="558"/>
      <c r="R20" s="558"/>
      <c r="S20" s="558"/>
      <c r="T20" s="558"/>
      <c r="U20" s="558"/>
    </row>
    <row r="21" spans="1:21" ht="12.75">
      <c r="A21" s="537">
        <v>15</v>
      </c>
      <c r="B21" s="538" t="s">
        <v>1812</v>
      </c>
      <c r="C21" s="537" t="s">
        <v>1809</v>
      </c>
      <c r="D21" s="554">
        <v>43.40486111111111</v>
      </c>
      <c r="E21" s="554">
        <v>24.350694444444443</v>
      </c>
      <c r="F21" s="554">
        <v>18.54375</v>
      </c>
      <c r="G21" s="554">
        <v>14.37361111111111</v>
      </c>
      <c r="H21" s="554">
        <v>12.040277777777776</v>
      </c>
      <c r="I21" s="554">
        <v>31.07361111111111</v>
      </c>
      <c r="J21" s="554">
        <v>15.29375</v>
      </c>
      <c r="K21" s="554">
        <v>12.31388888888889</v>
      </c>
      <c r="L21" s="554">
        <v>28.656944444444445</v>
      </c>
      <c r="M21" s="556"/>
      <c r="N21" s="557"/>
      <c r="O21" s="557"/>
      <c r="P21" s="558"/>
      <c r="Q21" s="558"/>
      <c r="R21" s="558"/>
      <c r="S21" s="558"/>
      <c r="T21" s="558"/>
      <c r="U21" s="558"/>
    </row>
    <row r="22" spans="1:21" ht="12.75">
      <c r="A22" s="1318" t="s">
        <v>1813</v>
      </c>
      <c r="B22" s="1318"/>
      <c r="C22" s="1318"/>
      <c r="D22" s="1318"/>
      <c r="E22" s="1318"/>
      <c r="F22" s="1318"/>
      <c r="G22" s="1318"/>
      <c r="H22" s="1318"/>
      <c r="I22" s="1318"/>
      <c r="J22" s="1318"/>
      <c r="K22" s="1318"/>
      <c r="L22" s="1318"/>
      <c r="M22" s="560"/>
      <c r="N22" s="560"/>
      <c r="O22" s="560"/>
      <c r="P22" s="560"/>
      <c r="Q22" s="560"/>
      <c r="R22" s="560"/>
      <c r="S22" s="561"/>
      <c r="T22" s="562"/>
      <c r="U22" s="562"/>
    </row>
    <row r="23" spans="1:21" ht="12.75">
      <c r="A23" s="537">
        <v>16</v>
      </c>
      <c r="B23" s="538" t="s">
        <v>1814</v>
      </c>
      <c r="C23" s="537" t="s">
        <v>1809</v>
      </c>
      <c r="D23" s="554">
        <v>1.2513888888888889</v>
      </c>
      <c r="E23" s="555">
        <v>0.3520833333333333</v>
      </c>
      <c r="F23" s="554">
        <v>1.25</v>
      </c>
      <c r="G23" s="555">
        <v>0.34722222222222227</v>
      </c>
      <c r="H23" s="555">
        <v>0.04027777777777778</v>
      </c>
      <c r="I23" s="555">
        <v>0.23263888888888887</v>
      </c>
      <c r="J23" s="555">
        <v>0.2263888888888889</v>
      </c>
      <c r="K23" s="555">
        <v>0.17569444444444446</v>
      </c>
      <c r="L23" s="554">
        <v>2.025</v>
      </c>
      <c r="M23" s="557"/>
      <c r="N23" s="563"/>
      <c r="O23" s="557"/>
      <c r="P23" s="559"/>
      <c r="Q23" s="558"/>
      <c r="R23" s="559"/>
      <c r="S23" s="558"/>
      <c r="T23" s="558"/>
      <c r="U23" s="558"/>
    </row>
    <row r="24" spans="1:21" ht="12.75">
      <c r="A24" s="537">
        <v>17</v>
      </c>
      <c r="B24" s="538" t="s">
        <v>1815</v>
      </c>
      <c r="C24" s="537" t="s">
        <v>1809</v>
      </c>
      <c r="D24" s="554">
        <v>30.845138888888886</v>
      </c>
      <c r="E24" s="554">
        <v>19.820833333333333</v>
      </c>
      <c r="F24" s="554">
        <v>12.5</v>
      </c>
      <c r="G24" s="554">
        <v>9.909027777777778</v>
      </c>
      <c r="H24" s="554">
        <v>9.318055555555555</v>
      </c>
      <c r="I24" s="554">
        <v>23.884027777777778</v>
      </c>
      <c r="J24" s="554">
        <v>8.946527777777778</v>
      </c>
      <c r="K24" s="554">
        <v>4.066666666666666</v>
      </c>
      <c r="L24" s="554">
        <v>15.586805555555555</v>
      </c>
      <c r="M24" s="557"/>
      <c r="N24" s="557"/>
      <c r="O24" s="557"/>
      <c r="P24" s="558"/>
      <c r="Q24" s="558"/>
      <c r="R24" s="558"/>
      <c r="S24" s="558"/>
      <c r="T24" s="558"/>
      <c r="U24" s="558"/>
    </row>
    <row r="25" spans="1:21" ht="12.75">
      <c r="A25" s="537">
        <v>18</v>
      </c>
      <c r="B25" s="538" t="s">
        <v>1816</v>
      </c>
      <c r="C25" s="537" t="s">
        <v>1809</v>
      </c>
      <c r="D25" s="564">
        <v>0.21944444444444444</v>
      </c>
      <c r="E25" s="555">
        <v>0</v>
      </c>
      <c r="F25" s="555">
        <v>0.1111111111111111</v>
      </c>
      <c r="G25" s="555">
        <v>0</v>
      </c>
      <c r="H25" s="555">
        <v>0.44166666666666665</v>
      </c>
      <c r="I25" s="555">
        <v>0.3541666666666667</v>
      </c>
      <c r="J25" s="555">
        <v>0.5833333333333334</v>
      </c>
      <c r="K25" s="555">
        <v>0.041666666666666664</v>
      </c>
      <c r="L25" s="554">
        <v>2.477777777777778</v>
      </c>
      <c r="M25" s="565"/>
      <c r="N25" s="563"/>
      <c r="O25" s="557"/>
      <c r="P25" s="559"/>
      <c r="Q25" s="558"/>
      <c r="R25" s="558"/>
      <c r="S25" s="558"/>
      <c r="T25" s="558"/>
      <c r="U25" s="558"/>
    </row>
    <row r="26" spans="1:21" ht="12.75">
      <c r="A26" s="537">
        <v>19</v>
      </c>
      <c r="B26" s="538" t="s">
        <v>1817</v>
      </c>
      <c r="C26" s="537" t="s">
        <v>1809</v>
      </c>
      <c r="D26" s="554">
        <v>7.663194444444444</v>
      </c>
      <c r="E26" s="554">
        <v>1.4527777777777777</v>
      </c>
      <c r="F26" s="555">
        <v>0.2638888888888889</v>
      </c>
      <c r="G26" s="554">
        <v>1.0923611111111111</v>
      </c>
      <c r="H26" s="555">
        <v>0</v>
      </c>
      <c r="I26" s="555">
        <v>0.3993055555555556</v>
      </c>
      <c r="J26" s="555">
        <v>0.03680555555555556</v>
      </c>
      <c r="K26" s="555">
        <v>0.34652777777777777</v>
      </c>
      <c r="L26" s="555">
        <v>0.02638888888888889</v>
      </c>
      <c r="M26" s="557"/>
      <c r="N26" s="557"/>
      <c r="O26" s="563"/>
      <c r="P26" s="559"/>
      <c r="Q26" s="559"/>
      <c r="R26" s="559"/>
      <c r="S26" s="558"/>
      <c r="T26" s="558"/>
      <c r="U26" s="558"/>
    </row>
    <row r="27" spans="1:21" ht="12.75">
      <c r="A27" s="537">
        <v>20</v>
      </c>
      <c r="B27" s="538" t="s">
        <v>1818</v>
      </c>
      <c r="C27" s="537" t="s">
        <v>1809</v>
      </c>
      <c r="D27" s="564">
        <v>0.30833333333333335</v>
      </c>
      <c r="E27" s="555">
        <v>0.5118055555555555</v>
      </c>
      <c r="F27" s="555">
        <v>0.14444444444444446</v>
      </c>
      <c r="G27" s="554">
        <v>1.8451388888888889</v>
      </c>
      <c r="H27" s="555">
        <v>0</v>
      </c>
      <c r="I27" s="555">
        <v>0.5076388888888889</v>
      </c>
      <c r="J27" s="555">
        <v>0</v>
      </c>
      <c r="K27" s="554">
        <v>1.05625</v>
      </c>
      <c r="L27" s="555">
        <v>0.7722222222222223</v>
      </c>
      <c r="M27" s="557"/>
      <c r="N27" s="563"/>
      <c r="O27" s="563"/>
      <c r="P27" s="559"/>
      <c r="Q27" s="558"/>
      <c r="R27" s="559"/>
      <c r="S27" s="559"/>
      <c r="T27" s="559"/>
      <c r="U27" s="559"/>
    </row>
    <row r="28" spans="1:21" ht="12.75">
      <c r="A28" s="537">
        <v>21</v>
      </c>
      <c r="B28" s="538" t="s">
        <v>1819</v>
      </c>
      <c r="C28" s="537" t="s">
        <v>1809</v>
      </c>
      <c r="D28" s="554">
        <v>22.65416666666667</v>
      </c>
      <c r="E28" s="554">
        <v>17.85625</v>
      </c>
      <c r="F28" s="554">
        <v>11.980555555555556</v>
      </c>
      <c r="G28" s="554">
        <v>6.971527777777777</v>
      </c>
      <c r="H28" s="554">
        <v>8.876388888888888</v>
      </c>
      <c r="I28" s="554">
        <v>22.62291666666667</v>
      </c>
      <c r="J28" s="554">
        <v>8.32638888888889</v>
      </c>
      <c r="K28" s="554">
        <v>2.6222222222222222</v>
      </c>
      <c r="L28" s="554">
        <v>12.310416666666667</v>
      </c>
      <c r="M28" s="557"/>
      <c r="N28" s="557"/>
      <c r="O28" s="563"/>
      <c r="P28" s="558"/>
      <c r="Q28" s="558"/>
      <c r="R28" s="558"/>
      <c r="S28" s="558"/>
      <c r="T28" s="558"/>
      <c r="U28" s="558"/>
    </row>
    <row r="29" spans="1:21" ht="12.75">
      <c r="A29" s="537">
        <v>22</v>
      </c>
      <c r="B29" s="538" t="s">
        <v>1820</v>
      </c>
      <c r="C29" s="537" t="s">
        <v>1809</v>
      </c>
      <c r="D29" s="554">
        <v>32.09652777777778</v>
      </c>
      <c r="E29" s="554">
        <v>20.172916666666666</v>
      </c>
      <c r="F29" s="554">
        <v>13.75</v>
      </c>
      <c r="G29" s="554">
        <v>10.25625</v>
      </c>
      <c r="H29" s="554">
        <v>9.358333333333333</v>
      </c>
      <c r="I29" s="554">
        <v>24.116666666666664</v>
      </c>
      <c r="J29" s="554">
        <v>9.172916666666667</v>
      </c>
      <c r="K29" s="554">
        <v>4.242361111111111</v>
      </c>
      <c r="L29" s="554">
        <v>17.611805555555556</v>
      </c>
      <c r="M29" s="557"/>
      <c r="N29" s="557"/>
      <c r="O29" s="557"/>
      <c r="P29" s="558"/>
      <c r="Q29" s="558"/>
      <c r="R29" s="558"/>
      <c r="S29" s="558"/>
      <c r="T29" s="558"/>
      <c r="U29" s="558"/>
    </row>
    <row r="30" spans="1:21" ht="12.75">
      <c r="A30" s="537">
        <v>23</v>
      </c>
      <c r="B30" s="538" t="s">
        <v>1821</v>
      </c>
      <c r="C30" s="537" t="s">
        <v>1284</v>
      </c>
      <c r="D30" s="566">
        <v>90.29</v>
      </c>
      <c r="E30" s="566">
        <v>94.14</v>
      </c>
      <c r="F30" s="566">
        <v>95.84</v>
      </c>
      <c r="G30" s="566">
        <v>96.87</v>
      </c>
      <c r="H30" s="566">
        <v>97.22</v>
      </c>
      <c r="I30" s="566">
        <v>92.83</v>
      </c>
      <c r="J30" s="566">
        <v>96.99</v>
      </c>
      <c r="K30" s="566">
        <v>98.19</v>
      </c>
      <c r="L30" s="566">
        <v>94.28</v>
      </c>
      <c r="M30" s="567"/>
      <c r="N30" s="568"/>
      <c r="O30" s="539"/>
      <c r="P30" s="552"/>
      <c r="Q30" s="540"/>
      <c r="R30" s="552"/>
      <c r="S30" s="552"/>
      <c r="T30" s="552"/>
      <c r="U30" s="552"/>
    </row>
    <row r="31" spans="1:21" ht="12.75">
      <c r="A31" s="1318" t="s">
        <v>1822</v>
      </c>
      <c r="B31" s="1318"/>
      <c r="C31" s="1318"/>
      <c r="D31" s="1318"/>
      <c r="E31" s="1318"/>
      <c r="F31" s="1318"/>
      <c r="G31" s="1318"/>
      <c r="H31" s="1318"/>
      <c r="I31" s="1318"/>
      <c r="J31" s="1318"/>
      <c r="K31" s="1318"/>
      <c r="L31" s="1318"/>
      <c r="M31" s="560"/>
      <c r="N31" s="560"/>
      <c r="O31" s="560"/>
      <c r="P31" s="560"/>
      <c r="Q31" s="560"/>
      <c r="R31" s="560"/>
      <c r="S31" s="561"/>
      <c r="T31" s="562"/>
      <c r="U31" s="569"/>
    </row>
    <row r="32" spans="1:21" ht="12.75">
      <c r="A32" s="537">
        <v>24</v>
      </c>
      <c r="B32" s="538" t="s">
        <v>1823</v>
      </c>
      <c r="C32" s="537" t="s">
        <v>1284</v>
      </c>
      <c r="D32" s="566">
        <v>93.83</v>
      </c>
      <c r="E32" s="566">
        <v>94.37</v>
      </c>
      <c r="F32" s="566">
        <v>103.58</v>
      </c>
      <c r="G32" s="566">
        <v>102.61</v>
      </c>
      <c r="H32" s="566">
        <v>101.54</v>
      </c>
      <c r="I32" s="566">
        <v>100.52</v>
      </c>
      <c r="J32" s="566">
        <v>100.97</v>
      </c>
      <c r="K32" s="566">
        <v>100.06</v>
      </c>
      <c r="L32" s="566">
        <v>98.34</v>
      </c>
      <c r="M32" s="567"/>
      <c r="N32" s="568"/>
      <c r="O32" s="539"/>
      <c r="P32" s="540"/>
      <c r="Q32" s="540"/>
      <c r="R32" s="540"/>
      <c r="S32" s="540"/>
      <c r="T32" s="540"/>
      <c r="U32" s="570"/>
    </row>
    <row r="33" spans="1:21" ht="12.75">
      <c r="A33" s="537">
        <v>25</v>
      </c>
      <c r="B33" s="538" t="s">
        <v>1824</v>
      </c>
      <c r="C33" s="537" t="s">
        <v>1353</v>
      </c>
      <c r="D33" s="538">
        <v>30.5</v>
      </c>
      <c r="E33" s="538">
        <v>94.37</v>
      </c>
      <c r="F33" s="538">
        <v>33.66</v>
      </c>
      <c r="G33" s="538">
        <v>33.35</v>
      </c>
      <c r="H33" s="538">
        <v>33</v>
      </c>
      <c r="I33" s="538">
        <v>32.67</v>
      </c>
      <c r="J33" s="538">
        <v>32.81</v>
      </c>
      <c r="K33" s="538">
        <v>32.52</v>
      </c>
      <c r="L33" s="538">
        <v>31.96</v>
      </c>
      <c r="M33" s="539"/>
      <c r="N33" s="539"/>
      <c r="O33" s="539"/>
      <c r="P33" s="540"/>
      <c r="Q33" s="540"/>
      <c r="R33" s="540"/>
      <c r="S33" s="540"/>
      <c r="T33" s="543"/>
      <c r="U33" s="571"/>
    </row>
    <row r="34" spans="1:21" ht="12.75">
      <c r="A34" s="537">
        <v>26</v>
      </c>
      <c r="B34" s="538" t="s">
        <v>1825</v>
      </c>
      <c r="C34" s="537" t="s">
        <v>1454</v>
      </c>
      <c r="D34" s="538">
        <v>233.19</v>
      </c>
      <c r="E34" s="538">
        <v>230.67</v>
      </c>
      <c r="F34" s="538">
        <v>235</v>
      </c>
      <c r="G34" s="538">
        <v>235</v>
      </c>
      <c r="H34" s="538">
        <v>250</v>
      </c>
      <c r="I34" s="538">
        <v>250</v>
      </c>
      <c r="J34" s="538">
        <v>260</v>
      </c>
      <c r="K34" s="538">
        <v>260</v>
      </c>
      <c r="L34" s="538">
        <v>250</v>
      </c>
      <c r="M34" s="539"/>
      <c r="N34" s="540"/>
      <c r="O34" s="539"/>
      <c r="P34" s="540"/>
      <c r="Q34" s="540"/>
      <c r="R34" s="540"/>
      <c r="S34" s="540"/>
      <c r="T34" s="540"/>
      <c r="U34" s="570"/>
    </row>
    <row r="35" spans="1:21" ht="12.75">
      <c r="A35" s="537">
        <v>27</v>
      </c>
      <c r="B35" s="538" t="s">
        <v>1826</v>
      </c>
      <c r="C35" s="537" t="s">
        <v>1454</v>
      </c>
      <c r="D35" s="538">
        <v>234.136</v>
      </c>
      <c r="E35" s="538">
        <v>234.55</v>
      </c>
      <c r="F35" s="538">
        <v>264</v>
      </c>
      <c r="G35" s="538">
        <v>275.42</v>
      </c>
      <c r="H35" s="538">
        <v>275.41</v>
      </c>
      <c r="I35" s="538">
        <v>258.38</v>
      </c>
      <c r="J35" s="538">
        <v>270.59</v>
      </c>
      <c r="K35" s="538">
        <v>273.62</v>
      </c>
      <c r="L35" s="538">
        <v>257.53</v>
      </c>
      <c r="M35" s="539"/>
      <c r="N35" s="540"/>
      <c r="O35" s="539"/>
      <c r="P35" s="540"/>
      <c r="Q35" s="540"/>
      <c r="R35" s="540"/>
      <c r="S35" s="540"/>
      <c r="T35" s="540"/>
      <c r="U35" s="571"/>
    </row>
    <row r="36" spans="1:21" ht="12.75">
      <c r="A36" s="537">
        <v>28</v>
      </c>
      <c r="B36" s="538" t="s">
        <v>1827</v>
      </c>
      <c r="C36" s="537" t="s">
        <v>1284</v>
      </c>
      <c r="D36" s="538">
        <v>35.73</v>
      </c>
      <c r="E36" s="538">
        <v>36.14</v>
      </c>
      <c r="F36" s="538">
        <v>37.9</v>
      </c>
      <c r="G36" s="538">
        <v>38.1</v>
      </c>
      <c r="H36" s="538">
        <v>38.23</v>
      </c>
      <c r="I36" s="538">
        <v>37.6</v>
      </c>
      <c r="J36" s="538">
        <v>37.56</v>
      </c>
      <c r="K36" s="538">
        <v>37.88</v>
      </c>
      <c r="L36" s="538">
        <v>37.23</v>
      </c>
      <c r="M36" s="539"/>
      <c r="N36" s="540"/>
      <c r="O36" s="539"/>
      <c r="P36" s="540"/>
      <c r="Q36" s="540"/>
      <c r="R36" s="540"/>
      <c r="S36" s="540"/>
      <c r="T36" s="543"/>
      <c r="U36" s="571"/>
    </row>
    <row r="37" spans="1:21" ht="12.75">
      <c r="A37" s="537">
        <v>29</v>
      </c>
      <c r="B37" s="538" t="s">
        <v>1828</v>
      </c>
      <c r="C37" s="537" t="s">
        <v>1829</v>
      </c>
      <c r="D37" s="538">
        <v>9358.84</v>
      </c>
      <c r="E37" s="538">
        <v>9563.51</v>
      </c>
      <c r="F37" s="538">
        <v>9524.91</v>
      </c>
      <c r="G37" s="538">
        <v>9368.6</v>
      </c>
      <c r="H37" s="538">
        <v>9312.36</v>
      </c>
      <c r="I37" s="538">
        <v>9413.81</v>
      </c>
      <c r="J37" s="538">
        <v>9295.66</v>
      </c>
      <c r="K37" s="538">
        <v>9218.92</v>
      </c>
      <c r="L37" s="538">
        <v>9147.67</v>
      </c>
      <c r="M37" s="539"/>
      <c r="N37" s="540"/>
      <c r="O37" s="539"/>
      <c r="P37" s="540"/>
      <c r="Q37" s="540"/>
      <c r="R37" s="540"/>
      <c r="S37" s="540"/>
      <c r="T37" s="543"/>
      <c r="U37" s="571"/>
    </row>
    <row r="38" spans="1:21" ht="12.75">
      <c r="A38" s="537">
        <v>30</v>
      </c>
      <c r="B38" s="538" t="s">
        <v>1249</v>
      </c>
      <c r="C38" s="537" t="s">
        <v>1830</v>
      </c>
      <c r="D38" s="572">
        <v>2405.3918036588025</v>
      </c>
      <c r="E38" s="572">
        <v>2383.2068079326027</v>
      </c>
      <c r="F38" s="572">
        <v>2269.409226115138</v>
      </c>
      <c r="G38" s="572">
        <v>2255.3258082372627</v>
      </c>
      <c r="H38" s="572">
        <v>2249.041007338602</v>
      </c>
      <c r="I38" s="572">
        <v>2283.6162492978347</v>
      </c>
      <c r="J38" s="572">
        <v>2284.963101115981</v>
      </c>
      <c r="K38" s="572">
        <v>2270.105275233867</v>
      </c>
      <c r="L38" s="572">
        <v>2296.6735511660486</v>
      </c>
      <c r="M38" s="551"/>
      <c r="N38" s="551"/>
      <c r="O38" s="551"/>
      <c r="P38" s="543"/>
      <c r="Q38" s="540"/>
      <c r="R38" s="543"/>
      <c r="S38" s="540"/>
      <c r="T38" s="543"/>
      <c r="U38" s="571"/>
    </row>
    <row r="39" spans="1:25" ht="12.75">
      <c r="A39" s="538">
        <v>31</v>
      </c>
      <c r="B39" s="538" t="s">
        <v>1831</v>
      </c>
      <c r="C39" s="538" t="s">
        <v>1832</v>
      </c>
      <c r="D39" s="538">
        <v>365</v>
      </c>
      <c r="E39" s="538">
        <v>365</v>
      </c>
      <c r="F39" s="538">
        <v>365</v>
      </c>
      <c r="G39" s="538">
        <v>366</v>
      </c>
      <c r="H39" s="538">
        <v>365</v>
      </c>
      <c r="I39" s="538">
        <v>365</v>
      </c>
      <c r="J39" s="538">
        <v>365</v>
      </c>
      <c r="K39" s="538">
        <v>366</v>
      </c>
      <c r="L39" s="538">
        <v>365</v>
      </c>
      <c r="M39" s="539"/>
      <c r="N39" s="539"/>
      <c r="O39" s="539"/>
      <c r="P39" s="539"/>
      <c r="Q39" s="539"/>
      <c r="R39" s="539"/>
      <c r="S39" s="539"/>
      <c r="T39" s="539"/>
      <c r="U39" s="573"/>
      <c r="V39" s="107">
        <f>SUM(D39:U39)</f>
        <v>3287</v>
      </c>
      <c r="W39" s="574">
        <v>365</v>
      </c>
      <c r="X39" s="107">
        <f>V39+W39</f>
        <v>3652</v>
      </c>
      <c r="Y39" s="107"/>
    </row>
    <row r="40" spans="1:25" ht="12.75" hidden="1">
      <c r="A40" s="575"/>
      <c r="B40" s="575"/>
      <c r="C40" s="575"/>
      <c r="D40" s="575"/>
      <c r="E40" s="575"/>
      <c r="F40" s="575"/>
      <c r="G40" s="575"/>
      <c r="H40" s="575"/>
      <c r="I40" s="575"/>
      <c r="J40" s="575"/>
      <c r="K40" s="575"/>
      <c r="L40" s="575"/>
      <c r="M40" s="575"/>
      <c r="N40" s="575"/>
      <c r="O40" s="575"/>
      <c r="V40" s="90">
        <f>V9/(V39*24*32500)</f>
        <v>0.9198862184362641</v>
      </c>
      <c r="W40" s="90">
        <f>W9/(W39*24*32500)</f>
        <v>0.866327186512118</v>
      </c>
      <c r="X40" s="90">
        <f>X9/(X39*24*32500)</f>
        <v>0.9145332483781279</v>
      </c>
      <c r="Y40" s="107"/>
    </row>
    <row r="41" spans="1:24" ht="12.75" hidden="1">
      <c r="A41" s="575"/>
      <c r="B41" s="575"/>
      <c r="C41" s="575"/>
      <c r="D41" s="575"/>
      <c r="E41" s="575"/>
      <c r="F41" s="575"/>
      <c r="G41" s="575"/>
      <c r="H41" s="575"/>
      <c r="I41" s="575"/>
      <c r="J41" s="575"/>
      <c r="K41" s="575"/>
      <c r="V41" s="90" t="s">
        <v>1833</v>
      </c>
      <c r="W41" s="90" t="s">
        <v>1834</v>
      </c>
      <c r="X41" s="576">
        <f>X40*100</f>
        <v>91.45332483781279</v>
      </c>
    </row>
    <row r="42" spans="1:15" ht="12.75" hidden="1">
      <c r="A42" s="575"/>
      <c r="B42" s="575"/>
      <c r="C42" s="575"/>
      <c r="D42" s="575"/>
      <c r="E42" s="575"/>
      <c r="F42" s="575"/>
      <c r="G42" s="575"/>
      <c r="H42" s="575"/>
      <c r="I42" s="575"/>
      <c r="J42" s="575"/>
      <c r="K42" s="575"/>
      <c r="L42" s="575"/>
      <c r="M42" s="575"/>
      <c r="N42" s="575"/>
      <c r="O42" s="575"/>
    </row>
    <row r="43" spans="1:18" ht="12.75" hidden="1">
      <c r="A43" s="1317"/>
      <c r="B43" s="1317"/>
      <c r="C43" s="1317"/>
      <c r="D43" s="577"/>
      <c r="H43" s="577"/>
      <c r="I43" s="577"/>
      <c r="J43" s="575"/>
      <c r="K43" s="575"/>
      <c r="L43" s="575"/>
      <c r="M43" s="575"/>
      <c r="O43" s="1317"/>
      <c r="P43" s="1317"/>
      <c r="Q43" s="1317"/>
      <c r="R43" s="1317"/>
    </row>
    <row r="45" spans="13:18" ht="12.75">
      <c r="M45" s="578"/>
      <c r="N45" s="578"/>
      <c r="O45" s="578"/>
      <c r="P45" s="578"/>
      <c r="Q45" s="578"/>
      <c r="R45" s="578"/>
    </row>
    <row r="47" spans="1:12" ht="12.75">
      <c r="A47" s="532" t="s">
        <v>1780</v>
      </c>
      <c r="B47" s="533" t="s">
        <v>1781</v>
      </c>
      <c r="C47" s="533" t="s">
        <v>1782</v>
      </c>
      <c r="D47" s="534" t="s">
        <v>1835</v>
      </c>
      <c r="E47" s="534" t="s">
        <v>1836</v>
      </c>
      <c r="F47" s="534" t="s">
        <v>1306</v>
      </c>
      <c r="G47" s="579" t="s">
        <v>1305</v>
      </c>
      <c r="H47" s="579" t="s">
        <v>1364</v>
      </c>
      <c r="I47" s="579" t="s">
        <v>1363</v>
      </c>
      <c r="J47" s="579" t="s">
        <v>1362</v>
      </c>
      <c r="K47" s="579" t="s">
        <v>1361</v>
      </c>
      <c r="L47" s="579" t="s">
        <v>1360</v>
      </c>
    </row>
    <row r="48" spans="1:12" ht="12.75">
      <c r="A48" s="537">
        <v>1</v>
      </c>
      <c r="B48" s="538" t="s">
        <v>1792</v>
      </c>
      <c r="C48" s="537" t="s">
        <v>1793</v>
      </c>
      <c r="D48" s="538">
        <v>155054000</v>
      </c>
      <c r="E48" s="580">
        <v>133352000</v>
      </c>
      <c r="F48" s="538">
        <v>179825000</v>
      </c>
      <c r="G48" s="580">
        <v>170893000</v>
      </c>
      <c r="H48" s="580">
        <v>176834000</v>
      </c>
      <c r="I48" s="580">
        <v>77493000</v>
      </c>
      <c r="J48" s="580">
        <v>159778030</v>
      </c>
      <c r="K48" s="580">
        <f>'[4]2016-17'!B15</f>
        <v>169340000</v>
      </c>
      <c r="L48" s="580">
        <f>'[4]2017-18'!B15</f>
        <v>175995000</v>
      </c>
    </row>
    <row r="49" spans="1:12" ht="12.75">
      <c r="A49" s="537">
        <v>2</v>
      </c>
      <c r="B49" s="538" t="s">
        <v>1794</v>
      </c>
      <c r="C49" s="537" t="s">
        <v>1793</v>
      </c>
      <c r="D49" s="538">
        <v>66265800</v>
      </c>
      <c r="E49" s="580">
        <v>62110230</v>
      </c>
      <c r="F49" s="538">
        <v>71602510</v>
      </c>
      <c r="G49" s="580">
        <v>59864020</v>
      </c>
      <c r="H49" s="580">
        <v>80131110</v>
      </c>
      <c r="I49" s="580">
        <v>24644420</v>
      </c>
      <c r="J49" s="580">
        <v>67232170</v>
      </c>
      <c r="K49" s="580">
        <f>'[4]2016-17'!C15</f>
        <v>77303350</v>
      </c>
      <c r="L49" s="580">
        <f>'[4]2017-18'!C15</f>
        <v>54341410</v>
      </c>
    </row>
    <row r="50" spans="1:12" ht="12.75">
      <c r="A50" s="537">
        <v>3</v>
      </c>
      <c r="B50" s="538" t="s">
        <v>1795</v>
      </c>
      <c r="C50" s="537" t="s">
        <v>1793</v>
      </c>
      <c r="D50" s="538">
        <v>221319800</v>
      </c>
      <c r="E50" s="580">
        <v>195462230</v>
      </c>
      <c r="F50" s="538">
        <v>251427510</v>
      </c>
      <c r="G50" s="580">
        <v>230757020</v>
      </c>
      <c r="H50" s="580">
        <v>256965110</v>
      </c>
      <c r="I50" s="580">
        <v>102137420</v>
      </c>
      <c r="J50" s="580">
        <v>227010200</v>
      </c>
      <c r="K50" s="581">
        <v>246643350</v>
      </c>
      <c r="L50" s="581">
        <f>'[4]2017-18'!D15</f>
        <v>230336410</v>
      </c>
    </row>
    <row r="51" spans="1:12" ht="12.75">
      <c r="A51" s="537">
        <v>4</v>
      </c>
      <c r="B51" s="538" t="s">
        <v>1796</v>
      </c>
      <c r="C51" s="537" t="s">
        <v>1793</v>
      </c>
      <c r="D51" s="538">
        <v>0</v>
      </c>
      <c r="E51" s="580">
        <v>0</v>
      </c>
      <c r="F51" s="538">
        <v>0</v>
      </c>
      <c r="G51" s="580">
        <v>0</v>
      </c>
      <c r="H51" s="580">
        <v>0</v>
      </c>
      <c r="I51" s="580">
        <v>0</v>
      </c>
      <c r="J51" s="580">
        <v>0</v>
      </c>
      <c r="K51" s="580">
        <v>0</v>
      </c>
      <c r="L51" s="580">
        <v>0</v>
      </c>
    </row>
    <row r="52" spans="1:12" ht="12.75">
      <c r="A52" s="537">
        <v>5</v>
      </c>
      <c r="B52" s="538" t="s">
        <v>1797</v>
      </c>
      <c r="C52" s="537" t="s">
        <v>1793</v>
      </c>
      <c r="D52" s="538">
        <v>207121605</v>
      </c>
      <c r="E52" s="580">
        <v>182678193.4</v>
      </c>
      <c r="F52" s="538">
        <v>235751752.6</v>
      </c>
      <c r="G52" s="582">
        <v>216503610.43</v>
      </c>
      <c r="H52" s="580">
        <v>241245409.6</v>
      </c>
      <c r="I52" s="583">
        <v>95346424.2</v>
      </c>
      <c r="J52" s="580">
        <v>212577154.8</v>
      </c>
      <c r="K52" s="580">
        <f>'[4]2016-17'!E15</f>
        <v>231314711.79999998</v>
      </c>
      <c r="L52" s="580">
        <f>'[4]2017-18'!E15</f>
        <v>214687915</v>
      </c>
    </row>
    <row r="53" spans="1:12" ht="12.75">
      <c r="A53" s="537">
        <v>6</v>
      </c>
      <c r="B53" s="538" t="s">
        <v>1798</v>
      </c>
      <c r="C53" s="537" t="s">
        <v>1793</v>
      </c>
      <c r="D53" s="538">
        <v>207121605</v>
      </c>
      <c r="E53" s="580">
        <v>182678193.4</v>
      </c>
      <c r="F53" s="538">
        <v>235751752.6</v>
      </c>
      <c r="G53" s="582">
        <v>216503610.43</v>
      </c>
      <c r="H53" s="580">
        <v>241245409.6</v>
      </c>
      <c r="I53" s="583">
        <v>95346424.2</v>
      </c>
      <c r="J53" s="580">
        <v>212577154.8</v>
      </c>
      <c r="K53" s="580">
        <f>K52</f>
        <v>231314711.79999998</v>
      </c>
      <c r="L53" s="580">
        <f>L51+L52</f>
        <v>214687915</v>
      </c>
    </row>
    <row r="54" spans="1:12" ht="24">
      <c r="A54" s="537">
        <v>7</v>
      </c>
      <c r="B54" s="546" t="s">
        <v>1799</v>
      </c>
      <c r="C54" s="537" t="s">
        <v>1793</v>
      </c>
      <c r="D54" s="538">
        <v>207003605</v>
      </c>
      <c r="E54" s="584">
        <v>182808193.4</v>
      </c>
      <c r="F54" s="547">
        <v>235733752.6</v>
      </c>
      <c r="G54" s="582">
        <v>216487610.4</v>
      </c>
      <c r="H54" s="580">
        <v>241223409.6</v>
      </c>
      <c r="I54" s="580">
        <v>95035578.6</v>
      </c>
      <c r="J54" s="580">
        <v>212919178.6</v>
      </c>
      <c r="K54" s="580">
        <f>'[4]2016-17'!F15</f>
        <v>231314711.79999998</v>
      </c>
      <c r="L54" s="580">
        <f>'[4]2017-18'!F15</f>
        <v>214685874.99999997</v>
      </c>
    </row>
    <row r="55" spans="1:12" ht="12.75">
      <c r="A55" s="537">
        <v>8</v>
      </c>
      <c r="B55" s="538" t="s">
        <v>1219</v>
      </c>
      <c r="C55" s="537" t="s">
        <v>1284</v>
      </c>
      <c r="D55" s="538">
        <v>77.74</v>
      </c>
      <c r="E55" s="580">
        <v>68.66</v>
      </c>
      <c r="F55" s="538">
        <v>88.07</v>
      </c>
      <c r="G55" s="580">
        <v>81.05</v>
      </c>
      <c r="H55" s="580">
        <v>90.26</v>
      </c>
      <c r="I55" s="580">
        <v>35.88</v>
      </c>
      <c r="J55" s="580">
        <v>79.52</v>
      </c>
      <c r="K55" s="582">
        <f>'[4]2016-17'!G15</f>
        <v>86.6327186512118</v>
      </c>
      <c r="L55" s="582">
        <f>'[4]2017-18'!G15</f>
        <v>80.90495609413418</v>
      </c>
    </row>
    <row r="56" spans="1:12" ht="12.75">
      <c r="A56" s="537">
        <v>9</v>
      </c>
      <c r="B56" s="538" t="s">
        <v>1800</v>
      </c>
      <c r="C56" s="537" t="s">
        <v>1801</v>
      </c>
      <c r="D56" s="538">
        <v>58422029</v>
      </c>
      <c r="E56" s="580">
        <v>51916985</v>
      </c>
      <c r="F56" s="538">
        <v>67990597</v>
      </c>
      <c r="G56" s="580">
        <v>65566941</v>
      </c>
      <c r="H56" s="580">
        <v>67853123</v>
      </c>
      <c r="I56" s="580">
        <v>29874773</v>
      </c>
      <c r="J56" s="580">
        <v>61280296</v>
      </c>
      <c r="K56" s="580">
        <f>'[4]2016-17'!H15</f>
        <v>65450110</v>
      </c>
      <c r="L56" s="580">
        <f>'[4]2017-18'!H15</f>
        <v>67605388</v>
      </c>
    </row>
    <row r="57" spans="1:12" ht="12.75">
      <c r="A57" s="537">
        <v>10</v>
      </c>
      <c r="B57" s="538" t="s">
        <v>1802</v>
      </c>
      <c r="C57" s="537" t="s">
        <v>1803</v>
      </c>
      <c r="D57" s="538">
        <v>3.79</v>
      </c>
      <c r="E57" s="580">
        <v>3.76</v>
      </c>
      <c r="F57" s="538">
        <v>3.7</v>
      </c>
      <c r="G57" s="580">
        <v>3.52</v>
      </c>
      <c r="H57" s="580">
        <v>3.79</v>
      </c>
      <c r="I57" s="580">
        <v>3.42</v>
      </c>
      <c r="J57" s="582">
        <v>3.7</v>
      </c>
      <c r="K57" s="582">
        <f>'[4]2016-17'!I15</f>
        <v>3.7684176543018797</v>
      </c>
      <c r="L57" s="582">
        <f>'[4]2017-18'!I15</f>
        <v>3.407071785461833</v>
      </c>
    </row>
    <row r="58" spans="1:12" ht="12.75">
      <c r="A58" s="537">
        <v>11</v>
      </c>
      <c r="B58" s="538" t="s">
        <v>1804</v>
      </c>
      <c r="C58" s="537" t="s">
        <v>1793</v>
      </c>
      <c r="D58" s="538">
        <v>14198195</v>
      </c>
      <c r="E58" s="580">
        <v>12784036.6</v>
      </c>
      <c r="F58" s="538">
        <v>15675757.4</v>
      </c>
      <c r="G58" s="580">
        <v>14253409.57</v>
      </c>
      <c r="H58" s="580">
        <v>15719700.4</v>
      </c>
      <c r="I58" s="585">
        <v>6790995.8</v>
      </c>
      <c r="J58" s="580">
        <v>14433045.2</v>
      </c>
      <c r="K58" s="580">
        <f>'[4]2016-17'!J15</f>
        <v>15328638.2</v>
      </c>
      <c r="L58" s="580">
        <f>'[4]2017-18'!J15</f>
        <v>15648494.999999996</v>
      </c>
    </row>
    <row r="59" spans="1:12" ht="12.75">
      <c r="A59" s="537">
        <v>12</v>
      </c>
      <c r="B59" s="538" t="s">
        <v>1806</v>
      </c>
      <c r="C59" s="537" t="s">
        <v>1284</v>
      </c>
      <c r="D59" s="538">
        <v>6.41</v>
      </c>
      <c r="E59" s="580">
        <v>6.54</v>
      </c>
      <c r="F59" s="572">
        <v>6.234702559000008</v>
      </c>
      <c r="G59" s="586">
        <v>6.17680431563902</v>
      </c>
      <c r="H59" s="582">
        <v>6.1</v>
      </c>
      <c r="I59" s="587">
        <v>6.65</v>
      </c>
      <c r="J59" s="580">
        <v>6.36</v>
      </c>
      <c r="K59" s="582">
        <f>'[4]2016-17'!K15</f>
        <v>6.214900259828615</v>
      </c>
      <c r="L59" s="582">
        <f>'[4]2017-18'!K15</f>
        <v>6.793756575436769</v>
      </c>
    </row>
    <row r="60" spans="1:12" ht="12.75">
      <c r="A60" s="537">
        <v>13</v>
      </c>
      <c r="B60" s="538" t="s">
        <v>1808</v>
      </c>
      <c r="C60" s="537" t="s">
        <v>1809</v>
      </c>
      <c r="D60" s="554">
        <v>3.6118055555555557</v>
      </c>
      <c r="E60" s="554">
        <v>2.6125</v>
      </c>
      <c r="F60" s="554">
        <v>4.513888888888888</v>
      </c>
      <c r="G60" s="588">
        <v>5.353472222222222</v>
      </c>
      <c r="H60" s="588">
        <v>6.999305555555555</v>
      </c>
      <c r="I60" s="589">
        <v>0.7354166666666666</v>
      </c>
      <c r="J60" s="588">
        <v>6.449305555555555</v>
      </c>
      <c r="K60" s="588"/>
      <c r="L60" s="588"/>
    </row>
    <row r="61" spans="1:12" ht="12.75">
      <c r="A61" s="537">
        <v>14</v>
      </c>
      <c r="B61" s="538" t="s">
        <v>1811</v>
      </c>
      <c r="C61" s="537" t="s">
        <v>1809</v>
      </c>
      <c r="D61" s="554">
        <v>32.804861111111116</v>
      </c>
      <c r="E61" s="554">
        <v>76.64930555555556</v>
      </c>
      <c r="F61" s="554">
        <v>4.323611111111111</v>
      </c>
      <c r="G61" s="588">
        <v>13.495833333333332</v>
      </c>
      <c r="H61" s="588">
        <v>6.950694444444444</v>
      </c>
      <c r="I61" s="588">
        <v>205.07152777777776</v>
      </c>
      <c r="J61" s="588">
        <v>38.56875</v>
      </c>
      <c r="K61" s="588">
        <f>'[4]2016-17'!M15</f>
        <v>13.783333333333333</v>
      </c>
      <c r="L61" s="588">
        <f>'[4]2017-18'!M15</f>
        <v>4.372916666666666</v>
      </c>
    </row>
    <row r="62" spans="1:12" ht="12.75">
      <c r="A62" s="537">
        <v>15</v>
      </c>
      <c r="B62" s="538" t="s">
        <v>1812</v>
      </c>
      <c r="C62" s="537" t="s">
        <v>1809</v>
      </c>
      <c r="D62" s="554">
        <v>57.015277777777776</v>
      </c>
      <c r="E62" s="554">
        <v>82.20972222222223</v>
      </c>
      <c r="F62" s="554">
        <v>34.08958333333333</v>
      </c>
      <c r="G62" s="588">
        <v>104.75486111111111</v>
      </c>
      <c r="H62" s="588">
        <v>16.25</v>
      </c>
      <c r="I62" s="588">
        <v>255.2465277777778</v>
      </c>
      <c r="J62" s="588">
        <v>56.54791666666667</v>
      </c>
      <c r="K62" s="588">
        <f>'[4]2016-17'!N15</f>
        <v>22.25763888888889</v>
      </c>
      <c r="L62" s="588">
        <f>'[4]2017-18'!N15</f>
        <v>33.05763888888889</v>
      </c>
    </row>
    <row r="63" spans="1:21" ht="12.75">
      <c r="A63" s="1318" t="s">
        <v>1813</v>
      </c>
      <c r="B63" s="1318"/>
      <c r="C63" s="1318"/>
      <c r="D63" s="1318"/>
      <c r="E63" s="1318"/>
      <c r="F63" s="1318"/>
      <c r="G63" s="1318"/>
      <c r="H63" s="1318"/>
      <c r="I63" s="1318"/>
      <c r="J63" s="1318"/>
      <c r="K63" s="1318"/>
      <c r="L63" s="1318"/>
      <c r="M63" s="590"/>
      <c r="N63" s="590"/>
      <c r="O63" s="590"/>
      <c r="P63" s="590"/>
      <c r="Q63" s="590"/>
      <c r="R63" s="590"/>
      <c r="S63" s="591"/>
      <c r="T63" s="534"/>
      <c r="U63" s="534"/>
    </row>
    <row r="64" spans="1:12" ht="12.75">
      <c r="A64" s="537">
        <v>16</v>
      </c>
      <c r="B64" s="538" t="s">
        <v>1814</v>
      </c>
      <c r="C64" s="537" t="s">
        <v>1809</v>
      </c>
      <c r="D64" s="554">
        <v>1.6326388888888888</v>
      </c>
      <c r="E64" s="564">
        <v>0.6631944444444444</v>
      </c>
      <c r="F64" s="554">
        <v>1.1958333333333333</v>
      </c>
      <c r="G64" s="589">
        <v>0.8354166666666667</v>
      </c>
      <c r="H64" s="588">
        <v>1.5888888888888888</v>
      </c>
      <c r="I64" s="589">
        <v>0</v>
      </c>
      <c r="J64" s="588">
        <v>1.082638888888889</v>
      </c>
      <c r="K64" s="588">
        <f>'[4]2016-17'!O15</f>
        <v>0.8270833333333333</v>
      </c>
      <c r="L64" s="588">
        <f>'[4]2017-18'!O15</f>
        <v>1.7256944444444444</v>
      </c>
    </row>
    <row r="65" spans="1:12" ht="12.75">
      <c r="A65" s="537">
        <v>17</v>
      </c>
      <c r="B65" s="538" t="s">
        <v>1815</v>
      </c>
      <c r="C65" s="537" t="s">
        <v>1809</v>
      </c>
      <c r="D65" s="554">
        <v>31.17222222222222</v>
      </c>
      <c r="E65" s="554">
        <v>75.98611111111111</v>
      </c>
      <c r="F65" s="554">
        <v>3.1277777777777778</v>
      </c>
      <c r="G65" s="588">
        <v>12.660416666666668</v>
      </c>
      <c r="H65" s="588">
        <v>5.361805555555556</v>
      </c>
      <c r="I65" s="588">
        <v>205.07152777777776</v>
      </c>
      <c r="J65" s="588">
        <v>37.48611111111111</v>
      </c>
      <c r="K65" s="588">
        <f>'[4]2016-17'!P15</f>
        <v>4.6097222222222225</v>
      </c>
      <c r="L65" s="588">
        <f>'[4]2017-18'!P15</f>
        <v>2.575</v>
      </c>
    </row>
    <row r="66" spans="1:12" ht="12.75">
      <c r="A66" s="537">
        <v>18</v>
      </c>
      <c r="B66" s="538" t="s">
        <v>1816</v>
      </c>
      <c r="C66" s="537" t="s">
        <v>1809</v>
      </c>
      <c r="D66" s="555">
        <v>0.22083333333333333</v>
      </c>
      <c r="E66" s="564">
        <v>0.29583333333333334</v>
      </c>
      <c r="F66" s="554">
        <v>2.329861111111111</v>
      </c>
      <c r="G66" s="589">
        <v>0.15972222222222224</v>
      </c>
      <c r="H66" s="588">
        <v>2.025</v>
      </c>
      <c r="I66" s="588">
        <v>181.66805555555558</v>
      </c>
      <c r="J66" s="588">
        <v>34.22361111111111</v>
      </c>
      <c r="K66" s="588">
        <f>'[4]2016-17'!Q15</f>
        <v>0.6097222222222223</v>
      </c>
      <c r="L66" s="588">
        <f>'[4]2017-18'!Q15</f>
        <v>0.38958333333333334</v>
      </c>
    </row>
    <row r="67" spans="1:12" ht="12.75">
      <c r="A67" s="537">
        <v>19</v>
      </c>
      <c r="B67" s="538" t="s">
        <v>1817</v>
      </c>
      <c r="C67" s="537" t="s">
        <v>1809</v>
      </c>
      <c r="D67" s="554">
        <v>0</v>
      </c>
      <c r="E67" s="554">
        <v>8.131944444444445</v>
      </c>
      <c r="F67" s="564">
        <v>0.44305555555555554</v>
      </c>
      <c r="G67" s="589">
        <v>0.09791666666666667</v>
      </c>
      <c r="H67" s="589">
        <v>0.15902777777777777</v>
      </c>
      <c r="I67" s="589">
        <v>0.43472222222222223</v>
      </c>
      <c r="J67" s="588">
        <v>1.582638888888889</v>
      </c>
      <c r="K67" s="588">
        <f>'[4]2016-17'!R15</f>
        <v>0</v>
      </c>
      <c r="L67" s="588">
        <f>'[4]2017-18'!R15</f>
        <v>0.5458333333333333</v>
      </c>
    </row>
    <row r="68" spans="1:12" ht="12.75">
      <c r="A68" s="537">
        <v>20</v>
      </c>
      <c r="B68" s="538" t="s">
        <v>1818</v>
      </c>
      <c r="C68" s="537" t="s">
        <v>1809</v>
      </c>
      <c r="D68" s="554">
        <v>0</v>
      </c>
      <c r="E68" s="564">
        <v>0.18819444444444444</v>
      </c>
      <c r="F68" s="564">
        <v>0.31527777777777777</v>
      </c>
      <c r="G68" s="589">
        <v>0.12986111111111112</v>
      </c>
      <c r="H68" s="588">
        <v>1.4083333333333332</v>
      </c>
      <c r="I68" s="589">
        <v>0.9645833333333332</v>
      </c>
      <c r="J68" s="589">
        <v>0.10902777777777778</v>
      </c>
      <c r="K68" s="589">
        <f>'[4]2016-17'!S15</f>
        <v>0</v>
      </c>
      <c r="L68" s="589">
        <f>'[4]2017-18'!S15</f>
        <v>0</v>
      </c>
    </row>
    <row r="69" spans="1:12" ht="12.75">
      <c r="A69" s="537">
        <v>21</v>
      </c>
      <c r="B69" s="538" t="s">
        <v>1819</v>
      </c>
      <c r="C69" s="537" t="s">
        <v>1809</v>
      </c>
      <c r="D69" s="554">
        <v>30.95138888888889</v>
      </c>
      <c r="E69" s="554">
        <v>67.37013888888889</v>
      </c>
      <c r="F69" s="564">
        <v>0.03958333333333333</v>
      </c>
      <c r="G69" s="588">
        <v>12.272916666666667</v>
      </c>
      <c r="H69" s="588">
        <v>1.7694444444444446</v>
      </c>
      <c r="I69" s="588">
        <v>22.004166666666666</v>
      </c>
      <c r="J69" s="588">
        <v>1.5708333333333335</v>
      </c>
      <c r="K69" s="588">
        <f>'[4]2016-17'!T15</f>
        <v>8.174999999999999</v>
      </c>
      <c r="L69" s="588">
        <f>'[4]2017-18'!T15</f>
        <v>0</v>
      </c>
    </row>
    <row r="70" spans="1:12" ht="12.75">
      <c r="A70" s="537">
        <v>22</v>
      </c>
      <c r="B70" s="538" t="s">
        <v>1820</v>
      </c>
      <c r="C70" s="537" t="s">
        <v>1809</v>
      </c>
      <c r="D70" s="554">
        <v>32.804861111111116</v>
      </c>
      <c r="E70" s="554">
        <v>76.64930555555556</v>
      </c>
      <c r="F70" s="554">
        <v>4.323611111111111</v>
      </c>
      <c r="G70" s="588">
        <v>13.495833333333332</v>
      </c>
      <c r="H70" s="588">
        <v>6.950694444444444</v>
      </c>
      <c r="I70" s="588">
        <v>205.07152777777776</v>
      </c>
      <c r="J70" s="588">
        <v>38.56875</v>
      </c>
      <c r="K70" s="588">
        <f>'[4]2016-17'!U15</f>
        <v>13.611805555555556</v>
      </c>
      <c r="L70" s="588">
        <f>'[4]2017-18'!U15</f>
        <v>4.300694444444444</v>
      </c>
    </row>
    <row r="71" spans="1:12" ht="12.75">
      <c r="A71" s="537">
        <v>23</v>
      </c>
      <c r="B71" s="538" t="s">
        <v>1821</v>
      </c>
      <c r="C71" s="537" t="s">
        <v>1284</v>
      </c>
      <c r="D71" s="566">
        <v>89.05</v>
      </c>
      <c r="E71" s="592">
        <v>78.55</v>
      </c>
      <c r="F71" s="538">
        <v>96.42</v>
      </c>
      <c r="G71" s="586">
        <v>88.92</v>
      </c>
      <c r="H71" s="580">
        <v>97.34</v>
      </c>
      <c r="I71" s="586">
        <v>39.76</v>
      </c>
      <c r="J71" s="586">
        <v>88.01</v>
      </c>
      <c r="K71" s="586">
        <f>'[4]2016-17'!V15</f>
        <v>95.2855005268704</v>
      </c>
      <c r="L71" s="586">
        <f>'[4]2017-18'!V15</f>
        <v>99.77168949771689</v>
      </c>
    </row>
    <row r="72" spans="1:21" ht="12.75">
      <c r="A72" s="1319" t="s">
        <v>1822</v>
      </c>
      <c r="B72" s="1320"/>
      <c r="C72" s="1320"/>
      <c r="D72" s="1320"/>
      <c r="E72" s="1320"/>
      <c r="F72" s="1320"/>
      <c r="G72" s="1320"/>
      <c r="H72" s="1320"/>
      <c r="I72" s="1320"/>
      <c r="J72" s="1320"/>
      <c r="K72" s="1320"/>
      <c r="L72" s="1321"/>
      <c r="M72" s="590"/>
      <c r="N72" s="590"/>
      <c r="O72" s="590"/>
      <c r="P72" s="590"/>
      <c r="Q72" s="590"/>
      <c r="R72" s="590"/>
      <c r="S72" s="591"/>
      <c r="T72" s="534"/>
      <c r="U72" s="534"/>
    </row>
    <row r="73" spans="1:12" ht="12.75">
      <c r="A73" s="537">
        <v>24</v>
      </c>
      <c r="B73" s="538" t="s">
        <v>1823</v>
      </c>
      <c r="C73" s="537" t="s">
        <v>1284</v>
      </c>
      <c r="D73" s="566">
        <v>95.25</v>
      </c>
      <c r="E73" s="592">
        <v>96.23</v>
      </c>
      <c r="F73" s="538">
        <v>94.79</v>
      </c>
      <c r="G73" s="580">
        <v>94.4</v>
      </c>
      <c r="H73" s="580">
        <v>94.28</v>
      </c>
      <c r="I73" s="580">
        <v>92.04</v>
      </c>
      <c r="J73" s="580">
        <v>91.34</v>
      </c>
      <c r="K73" s="582">
        <f>'[4]2016-17'!W15</f>
        <v>96.97</v>
      </c>
      <c r="L73" s="582">
        <f>'[4]2017-18'!W15</f>
        <v>94.24</v>
      </c>
    </row>
    <row r="74" spans="1:12" ht="12.75">
      <c r="A74" s="537">
        <v>25</v>
      </c>
      <c r="B74" s="538" t="s">
        <v>1824</v>
      </c>
      <c r="C74" s="537" t="s">
        <v>1353</v>
      </c>
      <c r="D74" s="538">
        <v>30.96</v>
      </c>
      <c r="E74" s="538">
        <v>31.27</v>
      </c>
      <c r="F74" s="538">
        <v>30.81</v>
      </c>
      <c r="G74" s="580">
        <v>30.68</v>
      </c>
      <c r="H74" s="580">
        <v>30.64</v>
      </c>
      <c r="I74" s="580">
        <v>29.91</v>
      </c>
      <c r="J74" s="580">
        <v>29.69</v>
      </c>
      <c r="K74" s="582">
        <f>'[4]2016-17'!X15</f>
        <v>31.40884722222222</v>
      </c>
      <c r="L74" s="582">
        <f>'[4]2017-18'!X15</f>
        <v>29.332002688172043</v>
      </c>
    </row>
    <row r="75" spans="1:12" ht="12.75">
      <c r="A75" s="537">
        <v>26</v>
      </c>
      <c r="B75" s="538" t="s">
        <v>1825</v>
      </c>
      <c r="C75" s="537" t="s">
        <v>1454</v>
      </c>
      <c r="D75" s="538">
        <v>258</v>
      </c>
      <c r="E75" s="580">
        <v>255</v>
      </c>
      <c r="F75" s="538">
        <v>256</v>
      </c>
      <c r="G75" s="580">
        <v>257</v>
      </c>
      <c r="H75" s="580">
        <v>230</v>
      </c>
      <c r="I75" s="580">
        <v>242</v>
      </c>
      <c r="J75" s="580">
        <v>200</v>
      </c>
      <c r="K75" s="580">
        <v>242</v>
      </c>
      <c r="L75" s="580">
        <v>223</v>
      </c>
    </row>
    <row r="76" spans="1:12" ht="12.75">
      <c r="A76" s="537">
        <v>27</v>
      </c>
      <c r="B76" s="538" t="s">
        <v>1826</v>
      </c>
      <c r="C76" s="537" t="s">
        <v>1454</v>
      </c>
      <c r="D76" s="538">
        <v>221.32</v>
      </c>
      <c r="E76" s="580">
        <v>195.46</v>
      </c>
      <c r="F76" s="538">
        <v>251.43</v>
      </c>
      <c r="G76" s="580">
        <v>230.76</v>
      </c>
      <c r="H76" s="580">
        <v>256.97</v>
      </c>
      <c r="I76" s="580">
        <v>102.14</v>
      </c>
      <c r="J76" s="580">
        <v>227.01</v>
      </c>
      <c r="K76" s="580">
        <v>246.64</v>
      </c>
      <c r="L76" s="582">
        <f>L50/1000000</f>
        <v>230.33641</v>
      </c>
    </row>
    <row r="77" spans="1:12" ht="12.75">
      <c r="A77" s="537">
        <v>28</v>
      </c>
      <c r="B77" s="538" t="s">
        <v>1827</v>
      </c>
      <c r="C77" s="537" t="s">
        <v>1284</v>
      </c>
      <c r="D77" s="538">
        <v>35.61</v>
      </c>
      <c r="E77" s="580">
        <v>35.71</v>
      </c>
      <c r="F77" s="538">
        <v>31.92</v>
      </c>
      <c r="G77" s="580">
        <v>30.22</v>
      </c>
      <c r="H77" s="580">
        <v>32.17</v>
      </c>
      <c r="I77" s="580">
        <v>28.88</v>
      </c>
      <c r="J77" s="580">
        <v>31.54</v>
      </c>
      <c r="K77" s="582">
        <f>'[4]2016-17'!AA15</f>
        <v>32.24482616723494</v>
      </c>
      <c r="L77" s="582">
        <f>'[4]2017-18'!AA15</f>
        <v>29.175096560903086</v>
      </c>
    </row>
    <row r="78" spans="1:12" ht="12.75">
      <c r="A78" s="537">
        <v>29</v>
      </c>
      <c r="B78" s="538" t="s">
        <v>1828</v>
      </c>
      <c r="C78" s="537" t="s">
        <v>1829</v>
      </c>
      <c r="D78" s="538">
        <v>9127.88</v>
      </c>
      <c r="E78" s="580">
        <v>9065.98</v>
      </c>
      <c r="F78" s="538">
        <v>9962.12</v>
      </c>
      <c r="G78" s="580">
        <v>10017.904</v>
      </c>
      <c r="H78" s="580">
        <v>10122.02</v>
      </c>
      <c r="I78" s="580">
        <v>10177.82</v>
      </c>
      <c r="J78" s="580">
        <v>10097.65</v>
      </c>
      <c r="K78" s="582">
        <f>'[4]2016-17'!AB15</f>
        <v>10055.646353047536</v>
      </c>
      <c r="L78" s="582">
        <f>'[4]2017-18'!AB15</f>
        <v>10048.008261427032</v>
      </c>
    </row>
    <row r="79" spans="1:12" ht="12.75">
      <c r="A79" s="537">
        <v>30</v>
      </c>
      <c r="B79" s="538" t="s">
        <v>1249</v>
      </c>
      <c r="C79" s="537" t="s">
        <v>1830</v>
      </c>
      <c r="D79" s="572">
        <v>2409.4964393990954</v>
      </c>
      <c r="E79" s="572">
        <v>2408.02710411265</v>
      </c>
      <c r="F79" s="572">
        <v>2693.939442766784</v>
      </c>
      <c r="G79" s="582">
        <v>2846.47</v>
      </c>
      <c r="H79" s="580">
        <v>2672.78</v>
      </c>
      <c r="I79" s="582">
        <v>2976.97</v>
      </c>
      <c r="J79" s="580">
        <v>2725.81</v>
      </c>
      <c r="K79" s="582">
        <f>'[4]2016-17'!AC15</f>
        <v>2668.4001815903816</v>
      </c>
      <c r="L79" s="582">
        <f>'[4]2017-18'!AC15</f>
        <v>2949.1624756198116</v>
      </c>
    </row>
    <row r="80" spans="1:12" ht="12.75">
      <c r="A80" s="538">
        <v>31</v>
      </c>
      <c r="B80" s="538" t="s">
        <v>1831</v>
      </c>
      <c r="C80" s="538" t="s">
        <v>1832</v>
      </c>
      <c r="D80" s="538">
        <v>365</v>
      </c>
      <c r="E80" s="538">
        <v>365</v>
      </c>
      <c r="F80" s="538">
        <v>366</v>
      </c>
      <c r="G80" s="538">
        <v>365</v>
      </c>
      <c r="H80" s="538">
        <v>365</v>
      </c>
      <c r="I80" s="538">
        <v>365</v>
      </c>
      <c r="J80" s="538">
        <v>366</v>
      </c>
      <c r="K80" s="538">
        <v>365</v>
      </c>
      <c r="L80" s="538">
        <v>365</v>
      </c>
    </row>
  </sheetData>
  <sheetProtection/>
  <mergeCells count="10">
    <mergeCell ref="A43:C43"/>
    <mergeCell ref="O43:R43"/>
    <mergeCell ref="A63:L63"/>
    <mergeCell ref="A72:L72"/>
    <mergeCell ref="A1:L1"/>
    <mergeCell ref="A2:L2"/>
    <mergeCell ref="A3:L3"/>
    <mergeCell ref="A5:L5"/>
    <mergeCell ref="A22:L22"/>
    <mergeCell ref="A31:L31"/>
  </mergeCells>
  <printOptions horizontalCentered="1" verticalCentered="1"/>
  <pageMargins left="0.16" right="0.16" top="0.32" bottom="0.25" header="0.31" footer="0.2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C51"/>
  <sheetViews>
    <sheetView zoomScalePageLayoutView="0" workbookViewId="0" topLeftCell="A13">
      <selection activeCell="I22" sqref="I22:I39"/>
    </sheetView>
  </sheetViews>
  <sheetFormatPr defaultColWidth="9.33203125" defaultRowHeight="12.75"/>
  <cols>
    <col min="1" max="1" width="4.5" style="90" customWidth="1"/>
    <col min="2" max="2" width="9.83203125" style="90" customWidth="1"/>
    <col min="3" max="3" width="12.33203125" style="90" customWidth="1"/>
    <col min="4" max="4" width="11.83203125" style="90" customWidth="1"/>
    <col min="5" max="5" width="12.33203125" style="90" customWidth="1"/>
    <col min="6" max="6" width="10.83203125" style="90" customWidth="1"/>
    <col min="7" max="7" width="11.66015625" style="90" customWidth="1"/>
    <col min="8" max="8" width="8.83203125" style="90" customWidth="1"/>
    <col min="9" max="9" width="11.66015625" style="90" customWidth="1"/>
    <col min="10" max="10" width="9.33203125" style="90" customWidth="1"/>
    <col min="11" max="11" width="9.16015625" style="90" customWidth="1"/>
    <col min="12" max="12" width="9.33203125" style="90" customWidth="1"/>
    <col min="13" max="13" width="15.66015625" style="90" customWidth="1"/>
    <col min="14" max="14" width="13.83203125" style="90" hidden="1" customWidth="1"/>
    <col min="15" max="15" width="13.5" style="90" customWidth="1"/>
    <col min="16" max="16" width="12.66015625" style="90" customWidth="1"/>
    <col min="17" max="17" width="14.66015625" style="90" customWidth="1"/>
    <col min="18" max="18" width="7.66015625" style="90" customWidth="1"/>
    <col min="19" max="19" width="10.66015625" style="90" customWidth="1"/>
    <col min="20" max="20" width="0.1640625" style="90" customWidth="1"/>
    <col min="21" max="21" width="12" style="90" customWidth="1"/>
    <col min="22" max="22" width="14" style="90" customWidth="1"/>
    <col min="23" max="23" width="9.33203125" style="90" customWidth="1"/>
    <col min="24" max="24" width="9.66015625" style="90" customWidth="1"/>
    <col min="25" max="25" width="15" style="90" customWidth="1"/>
    <col min="26" max="26" width="18.16015625" style="90" customWidth="1"/>
    <col min="27" max="27" width="9.5" style="90" customWidth="1"/>
    <col min="28" max="28" width="10" style="90" customWidth="1"/>
    <col min="29" max="29" width="14.83203125" style="90" customWidth="1"/>
    <col min="30" max="16384" width="9.33203125" style="90" customWidth="1"/>
  </cols>
  <sheetData>
    <row r="1" spans="1:29" ht="21">
      <c r="A1" s="1326" t="s">
        <v>1762</v>
      </c>
      <c r="B1" s="1326"/>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c r="AA1" s="1326"/>
      <c r="AB1" s="1326"/>
      <c r="AC1" s="1326"/>
    </row>
    <row r="2" spans="1:29" ht="45">
      <c r="A2" s="196" t="s">
        <v>1230</v>
      </c>
      <c r="B2" s="134" t="s">
        <v>1229</v>
      </c>
      <c r="C2" s="195"/>
      <c r="D2" s="1327" t="s">
        <v>1228</v>
      </c>
      <c r="E2" s="1328"/>
      <c r="F2" s="1328"/>
      <c r="G2" s="1329"/>
      <c r="H2" s="1327"/>
      <c r="I2" s="1329"/>
      <c r="J2" s="1330" t="s">
        <v>1227</v>
      </c>
      <c r="K2" s="1331"/>
      <c r="L2" s="1332"/>
      <c r="M2" s="194" t="s">
        <v>1226</v>
      </c>
      <c r="N2" s="194" t="s">
        <v>1225</v>
      </c>
      <c r="O2" s="196" t="s">
        <v>1224</v>
      </c>
      <c r="P2" s="196" t="s">
        <v>1223</v>
      </c>
      <c r="Q2" s="192" t="s">
        <v>1222</v>
      </c>
      <c r="R2" s="134" t="s">
        <v>1221</v>
      </c>
      <c r="S2" s="134" t="s">
        <v>1220</v>
      </c>
      <c r="T2" s="195" t="s">
        <v>1219</v>
      </c>
      <c r="U2" s="510" t="s">
        <v>1218</v>
      </c>
      <c r="V2" s="510" t="s">
        <v>1217</v>
      </c>
      <c r="W2" s="194" t="s">
        <v>1216</v>
      </c>
      <c r="X2" s="194" t="s">
        <v>1215</v>
      </c>
      <c r="Y2" s="194" t="s">
        <v>1214</v>
      </c>
      <c r="Z2" s="510" t="s">
        <v>1213</v>
      </c>
      <c r="AA2" s="194" t="s">
        <v>1212</v>
      </c>
      <c r="AB2" s="194" t="s">
        <v>1211</v>
      </c>
      <c r="AC2" s="511" t="s">
        <v>1763</v>
      </c>
    </row>
    <row r="3" spans="1:29" ht="45">
      <c r="A3" s="187"/>
      <c r="B3" s="187"/>
      <c r="C3" s="187"/>
      <c r="D3" s="185" t="s">
        <v>1203</v>
      </c>
      <c r="E3" s="185" t="s">
        <v>1208</v>
      </c>
      <c r="F3" s="185" t="s">
        <v>1207</v>
      </c>
      <c r="G3" s="186" t="s">
        <v>1206</v>
      </c>
      <c r="H3" s="185" t="s">
        <v>1205</v>
      </c>
      <c r="I3" s="186" t="s">
        <v>1204</v>
      </c>
      <c r="J3" s="185" t="s">
        <v>1203</v>
      </c>
      <c r="K3" s="185" t="s">
        <v>1202</v>
      </c>
      <c r="L3" s="185"/>
      <c r="M3" s="184"/>
      <c r="N3" s="184"/>
      <c r="O3" s="183"/>
      <c r="P3" s="92"/>
      <c r="Q3" s="122"/>
      <c r="R3" s="122"/>
      <c r="S3" s="122"/>
      <c r="T3" s="182"/>
      <c r="U3" s="135"/>
      <c r="V3" s="135"/>
      <c r="W3" s="135"/>
      <c r="X3" s="122"/>
      <c r="Y3" s="122"/>
      <c r="Z3" s="122"/>
      <c r="AA3" s="122"/>
      <c r="AB3" s="115"/>
      <c r="AC3" s="115"/>
    </row>
    <row r="4" spans="1:29" ht="15">
      <c r="A4" s="1333">
        <v>1</v>
      </c>
      <c r="B4" s="1336" t="s">
        <v>1764</v>
      </c>
      <c r="C4" s="132" t="s">
        <v>1189</v>
      </c>
      <c r="D4" s="129">
        <v>10059.089</v>
      </c>
      <c r="E4" s="129">
        <v>10060.84</v>
      </c>
      <c r="F4" s="127">
        <f aca="true" t="shared" si="0" ref="F4:F39">ROUND((2646*W4*100)/(U4*(100-R4)),2)</f>
        <v>2.12</v>
      </c>
      <c r="G4" s="127">
        <f aca="true" t="shared" si="1" ref="G4:G39">(Q4*F4)-Y4</f>
        <v>275393.58000000194</v>
      </c>
      <c r="H4" s="127">
        <f aca="true" t="shared" si="2" ref="H4:H38">ROUND((S4*W4*100)/(U4*95),2)</f>
        <v>2.13</v>
      </c>
      <c r="I4" s="127">
        <f aca="true" t="shared" si="3" ref="I4:I39">(Q4*H4)-Y4</f>
        <v>367191.44000000134</v>
      </c>
      <c r="J4" s="129">
        <v>2598784</v>
      </c>
      <c r="K4" s="127">
        <v>31516</v>
      </c>
      <c r="L4" s="127">
        <f>J4+K4</f>
        <v>2630300</v>
      </c>
      <c r="M4" s="126">
        <f>D4*J4+E4*K4</f>
        <v>26458476981.216</v>
      </c>
      <c r="N4" s="126">
        <f>H4*J4+I4*K4</f>
        <v>11577940832.960043</v>
      </c>
      <c r="O4" s="136">
        <v>9804430</v>
      </c>
      <c r="P4" s="136">
        <v>624644</v>
      </c>
      <c r="Q4" s="136">
        <f>O4-P4</f>
        <v>9179786</v>
      </c>
      <c r="R4" s="175">
        <f aca="true" t="shared" si="4" ref="R4:R39">P4*100/O4</f>
        <v>6.371038397948682</v>
      </c>
      <c r="S4" s="175">
        <f aca="true" t="shared" si="5" ref="S4:S38">ROUND((M4)/O4,2)</f>
        <v>2698.62</v>
      </c>
      <c r="T4" s="181"/>
      <c r="U4" s="119">
        <f aca="true" t="shared" si="6" ref="U4:U39">M4/L4</f>
        <v>10059.109980312513</v>
      </c>
      <c r="V4" s="157">
        <v>19849277</v>
      </c>
      <c r="W4" s="120">
        <f aca="true" t="shared" si="7" ref="W4:W39">ROUND(V4/L4,3)</f>
        <v>7.546</v>
      </c>
      <c r="X4" s="119">
        <f aca="true" t="shared" si="8" ref="X4:X39">ROUND((2646*W4*100)/(U4*95),2)</f>
        <v>2.09</v>
      </c>
      <c r="Y4" s="173">
        <f aca="true" t="shared" si="9" ref="Y4:Y39">X4*Q4</f>
        <v>19185752.74</v>
      </c>
      <c r="Z4" s="179">
        <f aca="true" t="shared" si="10" ref="Z4:Z38">Y4-V4</f>
        <v>-663524.2600000016</v>
      </c>
      <c r="AA4" s="122"/>
      <c r="AB4" s="115"/>
      <c r="AC4" s="115"/>
    </row>
    <row r="5" spans="1:29" ht="15">
      <c r="A5" s="1334"/>
      <c r="B5" s="1337"/>
      <c r="C5" s="132" t="s">
        <v>1188</v>
      </c>
      <c r="D5" s="129">
        <v>10077.375</v>
      </c>
      <c r="E5" s="129">
        <v>10077.264</v>
      </c>
      <c r="F5" s="127">
        <f t="shared" si="0"/>
        <v>2.12</v>
      </c>
      <c r="G5" s="127">
        <f t="shared" si="1"/>
        <v>230351.6280000005</v>
      </c>
      <c r="H5" s="127">
        <f t="shared" si="2"/>
        <v>2.66</v>
      </c>
      <c r="I5" s="127">
        <f t="shared" si="3"/>
        <v>4376680.932</v>
      </c>
      <c r="J5" s="129">
        <v>2735943</v>
      </c>
      <c r="K5" s="127">
        <v>12944</v>
      </c>
      <c r="L5" s="127">
        <f>J5+K5</f>
        <v>2748887</v>
      </c>
      <c r="M5" s="126">
        <f>D5*J5+E5*K5</f>
        <v>27701563694.841</v>
      </c>
      <c r="N5" s="126">
        <f>H5*L5</f>
        <v>7312039.42</v>
      </c>
      <c r="O5" s="144">
        <v>8210250</v>
      </c>
      <c r="P5" s="144">
        <v>531862.4</v>
      </c>
      <c r="Q5" s="136">
        <f>O5-P5</f>
        <v>7678387.6</v>
      </c>
      <c r="R5" s="175">
        <f t="shared" si="4"/>
        <v>6.478029292652477</v>
      </c>
      <c r="S5" s="175">
        <f t="shared" si="5"/>
        <v>3374.02</v>
      </c>
      <c r="T5" s="180"/>
      <c r="U5" s="119">
        <f t="shared" si="6"/>
        <v>10077.37447732155</v>
      </c>
      <c r="V5" s="135">
        <v>20782113</v>
      </c>
      <c r="W5" s="120">
        <f t="shared" si="7"/>
        <v>7.56</v>
      </c>
      <c r="X5" s="119">
        <f t="shared" si="8"/>
        <v>2.09</v>
      </c>
      <c r="Y5" s="173">
        <f t="shared" si="9"/>
        <v>16047830.083999999</v>
      </c>
      <c r="Z5" s="179">
        <f t="shared" si="10"/>
        <v>-4734282.916000001</v>
      </c>
      <c r="AA5" s="122"/>
      <c r="AB5" s="115"/>
      <c r="AC5" s="115"/>
    </row>
    <row r="6" spans="1:29" ht="15">
      <c r="A6" s="1335"/>
      <c r="B6" s="1338"/>
      <c r="C6" s="132" t="s">
        <v>1187</v>
      </c>
      <c r="D6" s="129"/>
      <c r="E6" s="129"/>
      <c r="F6" s="127">
        <f t="shared" si="0"/>
        <v>2.12</v>
      </c>
      <c r="G6" s="127">
        <f t="shared" si="1"/>
        <v>505745.2080000043</v>
      </c>
      <c r="H6" s="127">
        <f t="shared" si="2"/>
        <v>2.37</v>
      </c>
      <c r="I6" s="127">
        <f t="shared" si="3"/>
        <v>4720288.608000003</v>
      </c>
      <c r="J6" s="129"/>
      <c r="K6" s="127"/>
      <c r="L6" s="128">
        <f>SUM(L4:L5)</f>
        <v>5379187</v>
      </c>
      <c r="M6" s="178">
        <f>SUM(M4:M5)</f>
        <v>54160040676.057</v>
      </c>
      <c r="N6" s="126"/>
      <c r="O6" s="141">
        <v>18014680</v>
      </c>
      <c r="P6" s="141">
        <v>1156506.4</v>
      </c>
      <c r="Q6" s="512">
        <f>O6-P6</f>
        <v>16858173.6</v>
      </c>
      <c r="R6" s="175">
        <f t="shared" si="4"/>
        <v>6.419799852120603</v>
      </c>
      <c r="S6" s="174">
        <f t="shared" si="5"/>
        <v>3006.44</v>
      </c>
      <c r="T6" s="177"/>
      <c r="U6" s="119">
        <f t="shared" si="6"/>
        <v>10068.443554027217</v>
      </c>
      <c r="V6" s="121">
        <f>V4+V5</f>
        <v>40631390</v>
      </c>
      <c r="W6" s="120">
        <f t="shared" si="7"/>
        <v>7.553</v>
      </c>
      <c r="X6" s="119">
        <f t="shared" si="8"/>
        <v>2.09</v>
      </c>
      <c r="Y6" s="157">
        <f t="shared" si="9"/>
        <v>35233582.824</v>
      </c>
      <c r="Z6" s="121">
        <f t="shared" si="10"/>
        <v>-5397807.175999999</v>
      </c>
      <c r="AA6" s="116">
        <f>O6*100/(780000*30)</f>
        <v>76.98581196581196</v>
      </c>
      <c r="AB6" s="115">
        <v>30</v>
      </c>
      <c r="AC6" s="115">
        <v>69578305</v>
      </c>
    </row>
    <row r="7" spans="1:29" ht="15">
      <c r="A7" s="1333">
        <v>2</v>
      </c>
      <c r="B7" s="1339" t="s">
        <v>1765</v>
      </c>
      <c r="C7" s="132" t="s">
        <v>1189</v>
      </c>
      <c r="D7" s="148">
        <v>10056.403</v>
      </c>
      <c r="E7" s="148">
        <v>10063.112</v>
      </c>
      <c r="F7" s="127">
        <f t="shared" si="0"/>
        <v>2.08</v>
      </c>
      <c r="G7" s="127">
        <f t="shared" si="1"/>
        <v>293125.5900000036</v>
      </c>
      <c r="H7" s="127">
        <f t="shared" si="2"/>
        <v>2.07</v>
      </c>
      <c r="I7" s="127">
        <f t="shared" si="3"/>
        <v>195417.05999999866</v>
      </c>
      <c r="J7" s="148">
        <v>2737061</v>
      </c>
      <c r="K7" s="151">
        <v>22503</v>
      </c>
      <c r="L7" s="161">
        <f>+J7+K7</f>
        <v>2759564</v>
      </c>
      <c r="M7" s="151">
        <f>D7*J7+E7*K7</f>
        <v>27751438660.919</v>
      </c>
      <c r="N7" s="151">
        <f>H7*L7</f>
        <v>5712297.4799999995</v>
      </c>
      <c r="O7" s="152">
        <v>10412550</v>
      </c>
      <c r="P7" s="152">
        <v>641697</v>
      </c>
      <c r="Q7" s="152">
        <v>9770853</v>
      </c>
      <c r="R7" s="175">
        <f t="shared" si="4"/>
        <v>6.162726709595632</v>
      </c>
      <c r="S7" s="175">
        <f t="shared" si="5"/>
        <v>2665.19</v>
      </c>
      <c r="T7" s="1341"/>
      <c r="U7" s="119">
        <f t="shared" si="6"/>
        <v>10056.45770886959</v>
      </c>
      <c r="V7" s="135">
        <v>20437585</v>
      </c>
      <c r="W7" s="120">
        <f t="shared" si="7"/>
        <v>7.406</v>
      </c>
      <c r="X7" s="119">
        <f t="shared" si="8"/>
        <v>2.05</v>
      </c>
      <c r="Y7" s="173">
        <f t="shared" si="9"/>
        <v>20030248.65</v>
      </c>
      <c r="Z7" s="162">
        <f t="shared" si="10"/>
        <v>-407336.3500000015</v>
      </c>
      <c r="AA7" s="119"/>
      <c r="AB7" s="135"/>
      <c r="AC7" s="135"/>
    </row>
    <row r="8" spans="1:29" ht="15">
      <c r="A8" s="1335"/>
      <c r="B8" s="1340"/>
      <c r="C8" s="132" t="s">
        <v>1188</v>
      </c>
      <c r="D8" s="148">
        <v>10052.16</v>
      </c>
      <c r="E8" s="148">
        <v>10057.562</v>
      </c>
      <c r="F8" s="127">
        <f t="shared" si="0"/>
        <v>2.09</v>
      </c>
      <c r="G8" s="127">
        <f t="shared" si="1"/>
        <v>333961.11199999973</v>
      </c>
      <c r="H8" s="127">
        <f t="shared" si="2"/>
        <v>2.55</v>
      </c>
      <c r="I8" s="127">
        <f t="shared" si="3"/>
        <v>4174513.8999999985</v>
      </c>
      <c r="J8" s="148">
        <v>2922307</v>
      </c>
      <c r="K8" s="148">
        <v>10030</v>
      </c>
      <c r="L8" s="161">
        <f>+J8+K8</f>
        <v>2932337</v>
      </c>
      <c r="M8" s="151">
        <f>D8*J8+E8*K8</f>
        <v>29476374879.98</v>
      </c>
      <c r="N8" s="151">
        <f>H8*L8</f>
        <v>7477459.35</v>
      </c>
      <c r="O8" s="513">
        <v>8974900</v>
      </c>
      <c r="P8" s="513">
        <v>625872.2</v>
      </c>
      <c r="Q8" s="513">
        <v>8349027.8</v>
      </c>
      <c r="R8" s="175">
        <f t="shared" si="4"/>
        <v>6.973584106786705</v>
      </c>
      <c r="S8" s="175">
        <f t="shared" si="5"/>
        <v>3284.31</v>
      </c>
      <c r="T8" s="1342"/>
      <c r="U8" s="119">
        <f t="shared" si="6"/>
        <v>10052.178477432846</v>
      </c>
      <c r="V8" s="135">
        <v>21707921</v>
      </c>
      <c r="W8" s="120">
        <f t="shared" si="7"/>
        <v>7.403</v>
      </c>
      <c r="X8" s="119">
        <f t="shared" si="8"/>
        <v>2.05</v>
      </c>
      <c r="Y8" s="173">
        <f t="shared" si="9"/>
        <v>17115506.99</v>
      </c>
      <c r="Z8" s="162">
        <f t="shared" si="10"/>
        <v>-4592414.010000002</v>
      </c>
      <c r="AA8" s="119"/>
      <c r="AB8" s="135"/>
      <c r="AC8" s="135"/>
    </row>
    <row r="9" spans="1:29" ht="15">
      <c r="A9" s="160"/>
      <c r="B9" s="159"/>
      <c r="C9" s="132" t="s">
        <v>1187</v>
      </c>
      <c r="D9" s="131"/>
      <c r="E9" s="131"/>
      <c r="F9" s="127">
        <f t="shared" si="0"/>
        <v>2.08</v>
      </c>
      <c r="G9" s="127">
        <f t="shared" si="1"/>
        <v>543596.4240000024</v>
      </c>
      <c r="H9" s="127">
        <f t="shared" si="2"/>
        <v>2.29</v>
      </c>
      <c r="I9" s="127">
        <f t="shared" si="3"/>
        <v>4348771.392000005</v>
      </c>
      <c r="J9" s="131"/>
      <c r="K9" s="148"/>
      <c r="L9" s="161">
        <f>SUM(L7:L8)</f>
        <v>5691901</v>
      </c>
      <c r="M9" s="171">
        <f>SUM(M7:M8)</f>
        <v>57227813540.899</v>
      </c>
      <c r="N9" s="151"/>
      <c r="O9" s="514">
        <v>19387450</v>
      </c>
      <c r="P9" s="514">
        <v>1267569.2</v>
      </c>
      <c r="Q9" s="515">
        <v>18119880.8</v>
      </c>
      <c r="R9" s="175">
        <f t="shared" si="4"/>
        <v>6.5380913941750975</v>
      </c>
      <c r="S9" s="174">
        <f t="shared" si="5"/>
        <v>2951.8</v>
      </c>
      <c r="T9" s="176"/>
      <c r="U9" s="119">
        <f t="shared" si="6"/>
        <v>10054.253146865873</v>
      </c>
      <c r="V9" s="121">
        <f>V7+V8</f>
        <v>42145506</v>
      </c>
      <c r="W9" s="120">
        <f t="shared" si="7"/>
        <v>7.404</v>
      </c>
      <c r="X9" s="119">
        <f t="shared" si="8"/>
        <v>2.05</v>
      </c>
      <c r="Y9" s="157">
        <f t="shared" si="9"/>
        <v>37145755.64</v>
      </c>
      <c r="Z9" s="121">
        <f t="shared" si="10"/>
        <v>-4999750.359999999</v>
      </c>
      <c r="AA9" s="516">
        <f>O9*100/(780000*31)</f>
        <v>80.17969396195203</v>
      </c>
      <c r="AB9" s="135">
        <v>31</v>
      </c>
      <c r="AC9" s="135">
        <v>61713727</v>
      </c>
    </row>
    <row r="10" spans="1:29" ht="15">
      <c r="A10" s="1333">
        <v>3</v>
      </c>
      <c r="B10" s="1339" t="s">
        <v>1766</v>
      </c>
      <c r="C10" s="132" t="s">
        <v>1189</v>
      </c>
      <c r="D10" s="164">
        <v>10125.223</v>
      </c>
      <c r="E10" s="164">
        <v>10101.77</v>
      </c>
      <c r="F10" s="127">
        <f t="shared" si="0"/>
        <v>2.09</v>
      </c>
      <c r="G10" s="127">
        <f t="shared" si="1"/>
        <v>347840</v>
      </c>
      <c r="H10" s="127">
        <f t="shared" si="2"/>
        <v>2.29</v>
      </c>
      <c r="I10" s="127">
        <f t="shared" si="3"/>
        <v>2087040</v>
      </c>
      <c r="J10" s="164">
        <v>2715926</v>
      </c>
      <c r="K10" s="148">
        <v>2759</v>
      </c>
      <c r="L10" s="161">
        <f>J10+K10</f>
        <v>2718685</v>
      </c>
      <c r="M10" s="151">
        <f>D10*J10+E10*K10</f>
        <v>27527227184.928</v>
      </c>
      <c r="N10" s="151"/>
      <c r="O10" s="152">
        <v>9319030</v>
      </c>
      <c r="P10" s="152">
        <v>623030</v>
      </c>
      <c r="Q10" s="152">
        <f aca="true" t="shared" si="11" ref="Q10:Q15">O10-P10</f>
        <v>8696000</v>
      </c>
      <c r="R10" s="175">
        <f t="shared" si="4"/>
        <v>6.685567060091018</v>
      </c>
      <c r="S10" s="174">
        <f t="shared" si="5"/>
        <v>2953.87</v>
      </c>
      <c r="T10" s="1341"/>
      <c r="U10" s="119">
        <f t="shared" si="6"/>
        <v>10125.199199218741</v>
      </c>
      <c r="V10" s="135">
        <v>20248064</v>
      </c>
      <c r="W10" s="120">
        <f t="shared" si="7"/>
        <v>7.448</v>
      </c>
      <c r="X10" s="119">
        <f t="shared" si="8"/>
        <v>2.05</v>
      </c>
      <c r="Y10" s="157">
        <f t="shared" si="9"/>
        <v>17826800</v>
      </c>
      <c r="Z10" s="121">
        <f t="shared" si="10"/>
        <v>-2421264</v>
      </c>
      <c r="AA10" s="516"/>
      <c r="AB10" s="135"/>
      <c r="AC10" s="135"/>
    </row>
    <row r="11" spans="1:29" ht="15">
      <c r="A11" s="1335"/>
      <c r="B11" s="1340"/>
      <c r="C11" s="132" t="s">
        <v>1188</v>
      </c>
      <c r="D11" s="164">
        <v>10089.701</v>
      </c>
      <c r="E11" s="164">
        <v>10092.267</v>
      </c>
      <c r="F11" s="127">
        <f t="shared" si="0"/>
        <v>2.09</v>
      </c>
      <c r="G11" s="127">
        <f t="shared" si="1"/>
        <v>352320</v>
      </c>
      <c r="H11" s="127">
        <f t="shared" si="2"/>
        <v>2.15</v>
      </c>
      <c r="I11" s="127">
        <f t="shared" si="3"/>
        <v>880800</v>
      </c>
      <c r="J11" s="148">
        <v>2570640</v>
      </c>
      <c r="K11" s="148">
        <v>30024</v>
      </c>
      <c r="L11" s="161">
        <f>J11+K11</f>
        <v>2600664</v>
      </c>
      <c r="M11" s="151">
        <f>D11*J11+E11*K11</f>
        <v>26239999203.048</v>
      </c>
      <c r="N11" s="151"/>
      <c r="O11" s="513">
        <v>9448850</v>
      </c>
      <c r="P11" s="513">
        <v>640850</v>
      </c>
      <c r="Q11" s="152">
        <f t="shared" si="11"/>
        <v>8808000</v>
      </c>
      <c r="R11" s="175">
        <f t="shared" si="4"/>
        <v>6.782306841573313</v>
      </c>
      <c r="S11" s="174">
        <f t="shared" si="5"/>
        <v>2777.06</v>
      </c>
      <c r="T11" s="1342"/>
      <c r="U11" s="119">
        <f t="shared" si="6"/>
        <v>10089.730623812995</v>
      </c>
      <c r="V11" s="135">
        <v>19301168</v>
      </c>
      <c r="W11" s="120">
        <f t="shared" si="7"/>
        <v>7.422</v>
      </c>
      <c r="X11" s="119">
        <f t="shared" si="8"/>
        <v>2.05</v>
      </c>
      <c r="Y11" s="157">
        <f t="shared" si="9"/>
        <v>18056400</v>
      </c>
      <c r="Z11" s="121">
        <f t="shared" si="10"/>
        <v>-1244768</v>
      </c>
      <c r="AA11" s="516"/>
      <c r="AB11" s="135"/>
      <c r="AC11" s="135"/>
    </row>
    <row r="12" spans="1:29" ht="15">
      <c r="A12" s="160"/>
      <c r="B12" s="159"/>
      <c r="C12" s="132" t="s">
        <v>1187</v>
      </c>
      <c r="D12" s="158"/>
      <c r="E12" s="158"/>
      <c r="F12" s="127">
        <f t="shared" si="0"/>
        <v>2.09</v>
      </c>
      <c r="G12" s="127">
        <f t="shared" si="1"/>
        <v>700160</v>
      </c>
      <c r="H12" s="127">
        <f t="shared" si="2"/>
        <v>2.22</v>
      </c>
      <c r="I12" s="127">
        <f t="shared" si="3"/>
        <v>2975680</v>
      </c>
      <c r="J12" s="148"/>
      <c r="K12" s="148"/>
      <c r="L12" s="138">
        <f>L10+L11</f>
        <v>5319349</v>
      </c>
      <c r="M12" s="171">
        <f>M10+M11</f>
        <v>53767226387.976</v>
      </c>
      <c r="N12" s="151"/>
      <c r="O12" s="514">
        <v>18767880</v>
      </c>
      <c r="P12" s="514">
        <v>1263880</v>
      </c>
      <c r="Q12" s="117">
        <f t="shared" si="11"/>
        <v>17504000</v>
      </c>
      <c r="R12" s="174">
        <f t="shared" si="4"/>
        <v>6.734271532000418</v>
      </c>
      <c r="S12" s="174">
        <f t="shared" si="5"/>
        <v>2864.85</v>
      </c>
      <c r="T12" s="165"/>
      <c r="U12" s="119">
        <f t="shared" si="6"/>
        <v>10107.858384169942</v>
      </c>
      <c r="V12" s="121">
        <f>V10+V11</f>
        <v>39549232</v>
      </c>
      <c r="W12" s="120">
        <f t="shared" si="7"/>
        <v>7.435</v>
      </c>
      <c r="X12" s="119">
        <f t="shared" si="8"/>
        <v>2.05</v>
      </c>
      <c r="Y12" s="157">
        <f t="shared" si="9"/>
        <v>35883200</v>
      </c>
      <c r="Z12" s="121">
        <f t="shared" si="10"/>
        <v>-3666032</v>
      </c>
      <c r="AA12" s="516">
        <f>O12*100/(780000*30)</f>
        <v>80.20461538461538</v>
      </c>
      <c r="AB12" s="135"/>
      <c r="AC12" s="135">
        <v>58961580</v>
      </c>
    </row>
    <row r="13" spans="1:29" ht="15">
      <c r="A13" s="1333">
        <v>4</v>
      </c>
      <c r="B13" s="1336" t="s">
        <v>1767</v>
      </c>
      <c r="C13" s="132" t="s">
        <v>1189</v>
      </c>
      <c r="D13" s="148">
        <v>10098.329</v>
      </c>
      <c r="E13" s="148">
        <v>10103.808</v>
      </c>
      <c r="F13" s="127">
        <f t="shared" si="0"/>
        <v>2.12</v>
      </c>
      <c r="G13" s="127">
        <f t="shared" si="1"/>
        <v>354480</v>
      </c>
      <c r="H13" s="127">
        <f t="shared" si="2"/>
        <v>2.52</v>
      </c>
      <c r="I13" s="127">
        <f t="shared" si="3"/>
        <v>3899280</v>
      </c>
      <c r="J13" s="148">
        <v>2939683</v>
      </c>
      <c r="K13" s="148">
        <v>66088</v>
      </c>
      <c r="L13" s="161">
        <f>J13+K13</f>
        <v>3005771</v>
      </c>
      <c r="M13" s="151">
        <f>D13*J13+E13*K13</f>
        <v>30353626552.811</v>
      </c>
      <c r="N13" s="151"/>
      <c r="O13" s="152">
        <v>9501470</v>
      </c>
      <c r="P13" s="152">
        <v>639470</v>
      </c>
      <c r="Q13" s="117">
        <f t="shared" si="11"/>
        <v>8862000</v>
      </c>
      <c r="R13" s="174">
        <f t="shared" si="4"/>
        <v>6.730221744635304</v>
      </c>
      <c r="S13" s="174">
        <f t="shared" si="5"/>
        <v>3194.62</v>
      </c>
      <c r="T13" s="1343"/>
      <c r="U13" s="119">
        <f t="shared" si="6"/>
        <v>10098.449466979022</v>
      </c>
      <c r="V13" s="135">
        <v>22715567</v>
      </c>
      <c r="W13" s="120">
        <f t="shared" si="7"/>
        <v>7.557</v>
      </c>
      <c r="X13" s="119">
        <f t="shared" si="8"/>
        <v>2.08</v>
      </c>
      <c r="Y13" s="157">
        <f t="shared" si="9"/>
        <v>18432960</v>
      </c>
      <c r="Z13" s="121">
        <f t="shared" si="10"/>
        <v>-4282607</v>
      </c>
      <c r="AA13" s="516"/>
      <c r="AB13" s="135"/>
      <c r="AC13" s="135"/>
    </row>
    <row r="14" spans="1:29" ht="15">
      <c r="A14" s="1335"/>
      <c r="B14" s="1338"/>
      <c r="C14" s="132" t="s">
        <v>1188</v>
      </c>
      <c r="D14" s="168">
        <v>10069.941</v>
      </c>
      <c r="E14" s="168">
        <v>10068.355</v>
      </c>
      <c r="F14" s="127">
        <f t="shared" si="0"/>
        <v>2.13</v>
      </c>
      <c r="G14" s="127">
        <f t="shared" si="1"/>
        <v>462043.5799999982</v>
      </c>
      <c r="H14" s="127">
        <f t="shared" si="2"/>
        <v>2.39</v>
      </c>
      <c r="I14" s="127">
        <f t="shared" si="3"/>
        <v>2864670.1960000023</v>
      </c>
      <c r="J14" s="148">
        <v>2937908</v>
      </c>
      <c r="K14" s="148">
        <v>54524</v>
      </c>
      <c r="L14" s="161">
        <f>J14+K14</f>
        <v>2992432</v>
      </c>
      <c r="M14" s="151">
        <f>D14*J14+E14*K14</f>
        <v>30133527211.448</v>
      </c>
      <c r="N14" s="151"/>
      <c r="O14" s="513">
        <v>9928090</v>
      </c>
      <c r="P14" s="513">
        <v>687218.4</v>
      </c>
      <c r="Q14" s="117">
        <f t="shared" si="11"/>
        <v>9240871.6</v>
      </c>
      <c r="R14" s="174">
        <f t="shared" si="4"/>
        <v>6.921959813015394</v>
      </c>
      <c r="S14" s="174">
        <f t="shared" si="5"/>
        <v>3035.18</v>
      </c>
      <c r="T14" s="1343"/>
      <c r="U14" s="119">
        <f t="shared" si="6"/>
        <v>10069.912102078844</v>
      </c>
      <c r="V14" s="135">
        <v>22552929</v>
      </c>
      <c r="W14" s="120">
        <f t="shared" si="7"/>
        <v>7.537</v>
      </c>
      <c r="X14" s="119">
        <f t="shared" si="8"/>
        <v>2.08</v>
      </c>
      <c r="Y14" s="157">
        <f t="shared" si="9"/>
        <v>19221012.928</v>
      </c>
      <c r="Z14" s="121">
        <f t="shared" si="10"/>
        <v>-3331916.0720000006</v>
      </c>
      <c r="AA14" s="516"/>
      <c r="AB14" s="135"/>
      <c r="AC14" s="135"/>
    </row>
    <row r="15" spans="1:29" ht="15">
      <c r="A15" s="160"/>
      <c r="B15" s="172"/>
      <c r="C15" s="132" t="s">
        <v>1187</v>
      </c>
      <c r="D15" s="168"/>
      <c r="E15" s="168"/>
      <c r="F15" s="127">
        <f t="shared" si="0"/>
        <v>2.13</v>
      </c>
      <c r="G15" s="127">
        <f t="shared" si="1"/>
        <v>905143.5799999982</v>
      </c>
      <c r="H15" s="127">
        <f t="shared" si="2"/>
        <v>2.45</v>
      </c>
      <c r="I15" s="127">
        <f t="shared" si="3"/>
        <v>6698062.492000006</v>
      </c>
      <c r="J15" s="148"/>
      <c r="K15" s="148"/>
      <c r="L15" s="138">
        <f>L13+L14</f>
        <v>5998203</v>
      </c>
      <c r="M15" s="171">
        <f>M13+M14</f>
        <v>60487153764.259</v>
      </c>
      <c r="N15" s="151"/>
      <c r="O15" s="171">
        <v>19429560</v>
      </c>
      <c r="P15" s="517">
        <v>1326688.4</v>
      </c>
      <c r="Q15" s="117">
        <f t="shared" si="11"/>
        <v>18102871.6</v>
      </c>
      <c r="R15" s="174">
        <f t="shared" si="4"/>
        <v>6.828195800625438</v>
      </c>
      <c r="S15" s="174">
        <f t="shared" si="5"/>
        <v>3113.15</v>
      </c>
      <c r="T15" s="169"/>
      <c r="U15" s="119">
        <f t="shared" si="6"/>
        <v>10084.212515691617</v>
      </c>
      <c r="V15" s="121">
        <f>V13+V14</f>
        <v>45268496</v>
      </c>
      <c r="W15" s="120">
        <f t="shared" si="7"/>
        <v>7.547</v>
      </c>
      <c r="X15" s="119">
        <f t="shared" si="8"/>
        <v>2.08</v>
      </c>
      <c r="Y15" s="157">
        <f t="shared" si="9"/>
        <v>37653972.928</v>
      </c>
      <c r="Z15" s="121">
        <f t="shared" si="10"/>
        <v>-7614523.071999997</v>
      </c>
      <c r="AA15" s="516">
        <f>O15*100/(780000*31)</f>
        <v>80.35384615384615</v>
      </c>
      <c r="AB15" s="135"/>
      <c r="AC15" s="135">
        <v>60899630</v>
      </c>
    </row>
    <row r="16" spans="1:29" ht="15">
      <c r="A16" s="1333">
        <v>5</v>
      </c>
      <c r="B16" s="1339" t="s">
        <v>1768</v>
      </c>
      <c r="C16" s="132" t="s">
        <v>1189</v>
      </c>
      <c r="D16" s="168">
        <v>10057.541</v>
      </c>
      <c r="E16" s="168">
        <v>10060.917</v>
      </c>
      <c r="F16" s="127">
        <f t="shared" si="0"/>
        <v>2.13</v>
      </c>
      <c r="G16" s="127">
        <f t="shared" si="1"/>
        <v>332532.80000000075</v>
      </c>
      <c r="H16" s="127">
        <f t="shared" si="2"/>
        <v>2.34</v>
      </c>
      <c r="I16" s="127">
        <f t="shared" si="3"/>
        <v>2078330</v>
      </c>
      <c r="J16" s="148">
        <v>2575567</v>
      </c>
      <c r="K16" s="151">
        <v>59569</v>
      </c>
      <c r="L16" s="161">
        <f>J16+K16</f>
        <v>2635136</v>
      </c>
      <c r="M16" s="151">
        <f>D16*J16+E16*K16</f>
        <v>26503189465.519997</v>
      </c>
      <c r="N16" s="151"/>
      <c r="O16" s="152">
        <v>8918100</v>
      </c>
      <c r="P16" s="152">
        <v>604780</v>
      </c>
      <c r="Q16" s="117">
        <f>O16-P16</f>
        <v>8313320</v>
      </c>
      <c r="R16" s="174">
        <f t="shared" si="4"/>
        <v>6.781489330687029</v>
      </c>
      <c r="S16" s="174">
        <f t="shared" si="5"/>
        <v>2971.84</v>
      </c>
      <c r="T16" s="1341"/>
      <c r="U16" s="119">
        <f t="shared" si="6"/>
        <v>10057.61731672293</v>
      </c>
      <c r="V16" s="135">
        <v>19841614</v>
      </c>
      <c r="W16" s="120">
        <f t="shared" si="7"/>
        <v>7.53</v>
      </c>
      <c r="X16" s="119">
        <f t="shared" si="8"/>
        <v>2.09</v>
      </c>
      <c r="Y16" s="157">
        <f t="shared" si="9"/>
        <v>17374838.799999997</v>
      </c>
      <c r="Z16" s="121">
        <f t="shared" si="10"/>
        <v>-2466775.200000003</v>
      </c>
      <c r="AA16" s="516"/>
      <c r="AB16" s="135"/>
      <c r="AC16" s="135"/>
    </row>
    <row r="17" spans="1:29" ht="15">
      <c r="A17" s="1335"/>
      <c r="B17" s="1340"/>
      <c r="C17" s="132" t="s">
        <v>1188</v>
      </c>
      <c r="D17" s="148">
        <v>10059.779</v>
      </c>
      <c r="E17" s="148">
        <v>10071.165</v>
      </c>
      <c r="F17" s="127">
        <f t="shared" si="0"/>
        <v>2.13</v>
      </c>
      <c r="G17" s="127">
        <f t="shared" si="1"/>
        <v>356618.47199999914</v>
      </c>
      <c r="H17" s="127">
        <f t="shared" si="2"/>
        <v>2.31</v>
      </c>
      <c r="I17" s="127">
        <f t="shared" si="3"/>
        <v>1961401.5960000008</v>
      </c>
      <c r="J17" s="148">
        <v>2728608</v>
      </c>
      <c r="K17" s="148">
        <v>68271</v>
      </c>
      <c r="L17" s="161">
        <f>J17+K17</f>
        <v>2796879</v>
      </c>
      <c r="M17" s="151">
        <f>D17*J17+E17*K17</f>
        <v>28136761963.347</v>
      </c>
      <c r="N17" s="151"/>
      <c r="O17" s="513">
        <v>9585940</v>
      </c>
      <c r="P17" s="513">
        <v>670478.2</v>
      </c>
      <c r="Q17" s="117">
        <f>O17-P17</f>
        <v>8915461.8</v>
      </c>
      <c r="R17" s="174">
        <f t="shared" si="4"/>
        <v>6.99439178630369</v>
      </c>
      <c r="S17" s="174">
        <f t="shared" si="5"/>
        <v>2935.21</v>
      </c>
      <c r="T17" s="1342"/>
      <c r="U17" s="119">
        <f t="shared" si="6"/>
        <v>10060.056928936503</v>
      </c>
      <c r="V17" s="135">
        <v>21064595</v>
      </c>
      <c r="W17" s="120">
        <f t="shared" si="7"/>
        <v>7.531</v>
      </c>
      <c r="X17" s="119">
        <f t="shared" si="8"/>
        <v>2.09</v>
      </c>
      <c r="Y17" s="157">
        <f t="shared" si="9"/>
        <v>18633315.162</v>
      </c>
      <c r="Z17" s="121">
        <f t="shared" si="10"/>
        <v>-2431279.8379999995</v>
      </c>
      <c r="AA17" s="516"/>
      <c r="AB17" s="135"/>
      <c r="AC17" s="135"/>
    </row>
    <row r="18" spans="1:29" ht="15">
      <c r="A18" s="160"/>
      <c r="B18" s="159"/>
      <c r="C18" s="132" t="s">
        <v>1187</v>
      </c>
      <c r="D18" s="148"/>
      <c r="E18" s="148"/>
      <c r="F18" s="127">
        <f t="shared" si="0"/>
        <v>2.13</v>
      </c>
      <c r="G18" s="127">
        <f t="shared" si="1"/>
        <v>689151.2719999999</v>
      </c>
      <c r="H18" s="127">
        <f t="shared" si="2"/>
        <v>2.33</v>
      </c>
      <c r="I18" s="127">
        <f t="shared" si="3"/>
        <v>4134907.6320000067</v>
      </c>
      <c r="J18" s="131"/>
      <c r="K18" s="148"/>
      <c r="L18" s="138">
        <f>L16+L17</f>
        <v>5432015</v>
      </c>
      <c r="M18" s="171">
        <f>M16+M17</f>
        <v>54639951428.867</v>
      </c>
      <c r="N18" s="167"/>
      <c r="O18" s="166">
        <v>18504040</v>
      </c>
      <c r="P18" s="518">
        <v>1275258.2</v>
      </c>
      <c r="Q18" s="117">
        <f>O18-P18</f>
        <v>17228781.8</v>
      </c>
      <c r="R18" s="174">
        <f t="shared" si="4"/>
        <v>6.891782551269885</v>
      </c>
      <c r="S18" s="174">
        <f t="shared" si="5"/>
        <v>2952.87</v>
      </c>
      <c r="T18" s="165"/>
      <c r="U18" s="119">
        <f t="shared" si="6"/>
        <v>10058.87344362396</v>
      </c>
      <c r="V18" s="121">
        <f>V16+V17</f>
        <v>40906209</v>
      </c>
      <c r="W18" s="120">
        <f t="shared" si="7"/>
        <v>7.531</v>
      </c>
      <c r="X18" s="119">
        <f t="shared" si="8"/>
        <v>2.09</v>
      </c>
      <c r="Y18" s="157">
        <f t="shared" si="9"/>
        <v>36008153.962</v>
      </c>
      <c r="Z18" s="121">
        <f t="shared" si="10"/>
        <v>-4898055.0380000025</v>
      </c>
      <c r="AA18" s="516">
        <f>O18*100/(780000*31)</f>
        <v>76.5262200165426</v>
      </c>
      <c r="AB18" s="135"/>
      <c r="AC18" s="135">
        <v>58253467</v>
      </c>
    </row>
    <row r="19" spans="1:29" ht="15">
      <c r="A19" s="1333">
        <v>6</v>
      </c>
      <c r="B19" s="1339" t="s">
        <v>1242</v>
      </c>
      <c r="C19" s="132" t="s">
        <v>1189</v>
      </c>
      <c r="D19" s="164">
        <v>10046.476</v>
      </c>
      <c r="E19" s="164">
        <v>10043.606</v>
      </c>
      <c r="F19" s="127">
        <f t="shared" si="0"/>
        <v>2.11</v>
      </c>
      <c r="G19" s="127">
        <f t="shared" si="1"/>
        <v>356640</v>
      </c>
      <c r="H19" s="127">
        <f t="shared" si="2"/>
        <v>2.29</v>
      </c>
      <c r="I19" s="127">
        <f t="shared" si="3"/>
        <v>1961520</v>
      </c>
      <c r="J19" s="158">
        <v>2730612</v>
      </c>
      <c r="K19" s="148">
        <v>55860</v>
      </c>
      <c r="L19" s="161">
        <f>J19+K19</f>
        <v>2786472</v>
      </c>
      <c r="M19" s="151">
        <f>D19*J19+E19*K19</f>
        <v>27994063754.472</v>
      </c>
      <c r="N19" s="151"/>
      <c r="O19" s="152">
        <v>9570380</v>
      </c>
      <c r="P19" s="152">
        <v>654380</v>
      </c>
      <c r="Q19" s="117">
        <f>O19-P19</f>
        <v>8916000</v>
      </c>
      <c r="R19" s="174">
        <f t="shared" si="4"/>
        <v>6.837555039611802</v>
      </c>
      <c r="S19" s="174">
        <f t="shared" si="5"/>
        <v>2925.07</v>
      </c>
      <c r="T19" s="1343"/>
      <c r="U19" s="119">
        <f t="shared" si="6"/>
        <v>10046.4184655263</v>
      </c>
      <c r="V19" s="135">
        <v>20820633</v>
      </c>
      <c r="W19" s="120">
        <f t="shared" si="7"/>
        <v>7.472</v>
      </c>
      <c r="X19" s="119">
        <f t="shared" si="8"/>
        <v>2.07</v>
      </c>
      <c r="Y19" s="157">
        <f t="shared" si="9"/>
        <v>18456120</v>
      </c>
      <c r="Z19" s="121">
        <f t="shared" si="10"/>
        <v>-2364513</v>
      </c>
      <c r="AA19" s="516"/>
      <c r="AB19" s="135"/>
      <c r="AC19" s="135"/>
    </row>
    <row r="20" spans="1:29" ht="15">
      <c r="A20" s="1335"/>
      <c r="B20" s="1340"/>
      <c r="C20" s="132" t="s">
        <v>1188</v>
      </c>
      <c r="D20" s="158">
        <v>10037.701</v>
      </c>
      <c r="E20" s="158">
        <v>10041.321</v>
      </c>
      <c r="F20" s="127">
        <f t="shared" si="0"/>
        <v>2.11</v>
      </c>
      <c r="G20" s="127">
        <f t="shared" si="1"/>
        <v>367893.9520000033</v>
      </c>
      <c r="H20" s="127">
        <f t="shared" si="2"/>
        <v>2.27</v>
      </c>
      <c r="I20" s="127">
        <f t="shared" si="3"/>
        <v>1839469.7600000016</v>
      </c>
      <c r="J20" s="148">
        <v>2746104</v>
      </c>
      <c r="K20" s="148">
        <v>105117</v>
      </c>
      <c r="L20" s="161">
        <f>J20+K20</f>
        <v>2851221</v>
      </c>
      <c r="M20" s="151">
        <f>D20*J20+E20*K20</f>
        <v>28620084406.461</v>
      </c>
      <c r="N20" s="151"/>
      <c r="O20" s="513">
        <v>9862810</v>
      </c>
      <c r="P20" s="513">
        <v>665461.2</v>
      </c>
      <c r="Q20" s="117">
        <f>O20-P20</f>
        <v>9197348.8</v>
      </c>
      <c r="R20" s="174">
        <f t="shared" si="4"/>
        <v>6.74717651460385</v>
      </c>
      <c r="S20" s="174">
        <f t="shared" si="5"/>
        <v>2901.82</v>
      </c>
      <c r="T20" s="1343"/>
      <c r="U20" s="119">
        <f t="shared" si="6"/>
        <v>10037.834459854566</v>
      </c>
      <c r="V20" s="135">
        <v>21286227</v>
      </c>
      <c r="W20" s="120">
        <f t="shared" si="7"/>
        <v>7.466</v>
      </c>
      <c r="X20" s="119">
        <f t="shared" si="8"/>
        <v>2.07</v>
      </c>
      <c r="Y20" s="157">
        <f t="shared" si="9"/>
        <v>19038512.016</v>
      </c>
      <c r="Z20" s="121">
        <f t="shared" si="10"/>
        <v>-2247714.984000001</v>
      </c>
      <c r="AA20" s="516"/>
      <c r="AB20" s="135"/>
      <c r="AC20" s="135"/>
    </row>
    <row r="21" spans="1:29" ht="15">
      <c r="A21" s="160"/>
      <c r="B21" s="159"/>
      <c r="C21" s="132" t="s">
        <v>1187</v>
      </c>
      <c r="D21" s="158"/>
      <c r="E21" s="158"/>
      <c r="F21" s="127">
        <f t="shared" si="0"/>
        <v>2.11</v>
      </c>
      <c r="G21" s="127">
        <f t="shared" si="1"/>
        <v>724533.952000007</v>
      </c>
      <c r="H21" s="127">
        <f t="shared" si="2"/>
        <v>2.28</v>
      </c>
      <c r="I21" s="127">
        <f t="shared" si="3"/>
        <v>3803803.2480000034</v>
      </c>
      <c r="J21" s="148"/>
      <c r="K21" s="148"/>
      <c r="L21" s="161">
        <f>L19+L20</f>
        <v>5637693</v>
      </c>
      <c r="M21" s="151">
        <f>M19+M20</f>
        <v>56614148160.933</v>
      </c>
      <c r="N21" s="151"/>
      <c r="O21" s="514">
        <v>19433190</v>
      </c>
      <c r="P21" s="519">
        <v>1319841.2</v>
      </c>
      <c r="Q21" s="117">
        <v>18113348.8</v>
      </c>
      <c r="R21" s="174">
        <f t="shared" si="4"/>
        <v>6.7916857705811555</v>
      </c>
      <c r="S21" s="174">
        <f t="shared" si="5"/>
        <v>2913.27</v>
      </c>
      <c r="T21" s="146"/>
      <c r="U21" s="119">
        <f t="shared" si="6"/>
        <v>10042.077168964859</v>
      </c>
      <c r="V21" s="121">
        <f>V19+V20</f>
        <v>42106860</v>
      </c>
      <c r="W21" s="120">
        <f t="shared" si="7"/>
        <v>7.469</v>
      </c>
      <c r="X21" s="119">
        <f t="shared" si="8"/>
        <v>2.07</v>
      </c>
      <c r="Y21" s="157">
        <f t="shared" si="9"/>
        <v>37494632.015999995</v>
      </c>
      <c r="Z21" s="121">
        <f t="shared" si="10"/>
        <v>-4612227.984000005</v>
      </c>
      <c r="AA21" s="516">
        <f>O21*100/(780000*30)</f>
        <v>83.04782051282051</v>
      </c>
      <c r="AB21" s="135"/>
      <c r="AC21" s="135">
        <v>61135895</v>
      </c>
    </row>
    <row r="22" spans="1:29" ht="15">
      <c r="A22" s="155">
        <v>7</v>
      </c>
      <c r="B22" s="154" t="s">
        <v>1769</v>
      </c>
      <c r="C22" s="132" t="s">
        <v>1189</v>
      </c>
      <c r="D22" s="153">
        <v>10057.064</v>
      </c>
      <c r="E22" s="153">
        <v>10054.152</v>
      </c>
      <c r="F22" s="127">
        <f t="shared" si="0"/>
        <v>2.42</v>
      </c>
      <c r="G22" s="127">
        <f t="shared" si="1"/>
        <v>457900</v>
      </c>
      <c r="H22" s="127">
        <f t="shared" si="2"/>
        <v>2.63</v>
      </c>
      <c r="I22" s="127">
        <f t="shared" si="3"/>
        <v>2381080</v>
      </c>
      <c r="J22" s="153">
        <v>2760000</v>
      </c>
      <c r="K22" s="153">
        <v>118005</v>
      </c>
      <c r="L22" s="161">
        <f>J22+K22</f>
        <v>2878005</v>
      </c>
      <c r="M22" s="151">
        <f>D22*J22+E22*K22</f>
        <v>28943936846.76</v>
      </c>
      <c r="N22" s="149"/>
      <c r="O22" s="148">
        <v>9847980</v>
      </c>
      <c r="P22" s="149">
        <v>689980</v>
      </c>
      <c r="Q22" s="148">
        <v>9158000</v>
      </c>
      <c r="R22" s="174">
        <f t="shared" si="4"/>
        <v>7.006309923456384</v>
      </c>
      <c r="S22" s="174">
        <f t="shared" si="5"/>
        <v>2939.07</v>
      </c>
      <c r="T22" s="146"/>
      <c r="U22" s="119">
        <f t="shared" si="6"/>
        <v>10056.944601124736</v>
      </c>
      <c r="V22" s="157">
        <v>24635853</v>
      </c>
      <c r="W22" s="120">
        <f t="shared" si="7"/>
        <v>8.56</v>
      </c>
      <c r="X22" s="119">
        <f t="shared" si="8"/>
        <v>2.37</v>
      </c>
      <c r="Y22" s="157">
        <f t="shared" si="9"/>
        <v>21704460</v>
      </c>
      <c r="Z22" s="121">
        <f t="shared" si="10"/>
        <v>-2931393</v>
      </c>
      <c r="AA22" s="516"/>
      <c r="AB22" s="135"/>
      <c r="AC22" s="135"/>
    </row>
    <row r="23" spans="1:29" ht="15">
      <c r="A23" s="1344"/>
      <c r="B23" s="1345"/>
      <c r="C23" s="132" t="s">
        <v>1188</v>
      </c>
      <c r="D23" s="153">
        <v>10039.007</v>
      </c>
      <c r="E23" s="153">
        <v>10042.901</v>
      </c>
      <c r="F23" s="127">
        <f t="shared" si="0"/>
        <v>2.42</v>
      </c>
      <c r="G23" s="127">
        <f t="shared" si="1"/>
        <v>486300</v>
      </c>
      <c r="H23" s="127">
        <f t="shared" si="2"/>
        <v>2.63</v>
      </c>
      <c r="I23" s="127">
        <f t="shared" si="3"/>
        <v>2528760</v>
      </c>
      <c r="J23" s="153">
        <v>2942333</v>
      </c>
      <c r="K23" s="153">
        <v>115798</v>
      </c>
      <c r="L23" s="161">
        <f>J23+K23</f>
        <v>3058131</v>
      </c>
      <c r="M23" s="151">
        <f>D23*J23+E23*K23</f>
        <v>30701049433.329</v>
      </c>
      <c r="N23" s="151"/>
      <c r="O23" s="152">
        <v>10452560</v>
      </c>
      <c r="P23" s="152">
        <v>726560</v>
      </c>
      <c r="Q23" s="152">
        <v>9726000</v>
      </c>
      <c r="R23" s="174">
        <f t="shared" si="4"/>
        <v>6.951024438032405</v>
      </c>
      <c r="S23" s="174">
        <f t="shared" si="5"/>
        <v>2937.18</v>
      </c>
      <c r="T23" s="1343"/>
      <c r="U23" s="119">
        <f t="shared" si="6"/>
        <v>10039.154448690719</v>
      </c>
      <c r="V23" s="135">
        <v>26131405.87</v>
      </c>
      <c r="W23" s="120">
        <f t="shared" si="7"/>
        <v>8.545</v>
      </c>
      <c r="X23" s="119">
        <f t="shared" si="8"/>
        <v>2.37</v>
      </c>
      <c r="Y23" s="157">
        <f t="shared" si="9"/>
        <v>23050620</v>
      </c>
      <c r="Z23" s="121">
        <f t="shared" si="10"/>
        <v>-3080785.870000001</v>
      </c>
      <c r="AA23" s="516"/>
      <c r="AB23" s="135"/>
      <c r="AC23" s="135"/>
    </row>
    <row r="24" spans="1:29" ht="15">
      <c r="A24" s="1344"/>
      <c r="B24" s="1345"/>
      <c r="C24" s="132" t="s">
        <v>1187</v>
      </c>
      <c r="D24" s="148"/>
      <c r="E24" s="148"/>
      <c r="F24" s="127">
        <f t="shared" si="0"/>
        <v>2.42</v>
      </c>
      <c r="G24" s="127">
        <f t="shared" si="1"/>
        <v>944200</v>
      </c>
      <c r="H24" s="127">
        <f t="shared" si="2"/>
        <v>2.63</v>
      </c>
      <c r="I24" s="127">
        <f t="shared" si="3"/>
        <v>4909840</v>
      </c>
      <c r="J24" s="148"/>
      <c r="K24" s="148"/>
      <c r="L24" s="161">
        <f>L22+L23</f>
        <v>5936136</v>
      </c>
      <c r="M24" s="161">
        <f>M22+M23</f>
        <v>59644986280.089</v>
      </c>
      <c r="N24" s="151"/>
      <c r="O24" s="150">
        <v>20300540</v>
      </c>
      <c r="P24" s="513">
        <v>1416540</v>
      </c>
      <c r="Q24" s="150">
        <v>18884000</v>
      </c>
      <c r="R24" s="174">
        <f t="shared" si="4"/>
        <v>6.977843939126743</v>
      </c>
      <c r="S24" s="174">
        <f t="shared" si="5"/>
        <v>2938.1</v>
      </c>
      <c r="T24" s="1343"/>
      <c r="U24" s="119">
        <f t="shared" si="6"/>
        <v>10047.779612881004</v>
      </c>
      <c r="V24" s="520">
        <v>50767260</v>
      </c>
      <c r="W24" s="120">
        <f t="shared" si="7"/>
        <v>8.552</v>
      </c>
      <c r="X24" s="119">
        <f t="shared" si="8"/>
        <v>2.37</v>
      </c>
      <c r="Y24" s="157">
        <f t="shared" si="9"/>
        <v>44755080</v>
      </c>
      <c r="Z24" s="121">
        <f t="shared" si="10"/>
        <v>-6012180</v>
      </c>
      <c r="AA24" s="516">
        <f>O24*100/(780000*31)</f>
        <v>83.95591397849462</v>
      </c>
      <c r="AB24" s="135"/>
      <c r="AC24" s="135">
        <v>68622879</v>
      </c>
    </row>
    <row r="25" spans="1:28" ht="15">
      <c r="A25" s="134">
        <v>8</v>
      </c>
      <c r="B25" s="133" t="s">
        <v>1770</v>
      </c>
      <c r="C25" s="132" t="s">
        <v>1189</v>
      </c>
      <c r="D25" s="148">
        <v>10051.286</v>
      </c>
      <c r="E25" s="148">
        <v>10053.071</v>
      </c>
      <c r="F25" s="127">
        <f t="shared" si="0"/>
        <v>2.44</v>
      </c>
      <c r="G25" s="127">
        <f t="shared" si="1"/>
        <v>459800</v>
      </c>
      <c r="H25" s="127">
        <f t="shared" si="2"/>
        <v>2.64</v>
      </c>
      <c r="I25" s="127">
        <f t="shared" si="3"/>
        <v>2299000</v>
      </c>
      <c r="J25" s="148">
        <v>2760000</v>
      </c>
      <c r="K25" s="148">
        <v>111992</v>
      </c>
      <c r="L25" s="161">
        <f>J25+K25</f>
        <v>2871992</v>
      </c>
      <c r="M25" s="151">
        <f>D25*J25+E25*K25</f>
        <v>28867412887.432</v>
      </c>
      <c r="N25" s="149"/>
      <c r="O25" s="147">
        <v>9875880</v>
      </c>
      <c r="P25" s="521">
        <v>679880</v>
      </c>
      <c r="Q25" s="147">
        <v>9196000</v>
      </c>
      <c r="R25" s="174">
        <f t="shared" si="4"/>
        <v>6.884247277204664</v>
      </c>
      <c r="S25" s="174">
        <f t="shared" si="5"/>
        <v>2923.02</v>
      </c>
      <c r="T25" s="146"/>
      <c r="U25" s="119">
        <f t="shared" si="6"/>
        <v>10051.355605249597</v>
      </c>
      <c r="V25" s="157">
        <v>24786873</v>
      </c>
      <c r="W25" s="120">
        <f t="shared" si="7"/>
        <v>8.631</v>
      </c>
      <c r="X25" s="119">
        <f t="shared" si="8"/>
        <v>2.39</v>
      </c>
      <c r="Y25" s="157">
        <f t="shared" si="9"/>
        <v>21978440</v>
      </c>
      <c r="Z25" s="121">
        <f t="shared" si="10"/>
        <v>-2808433</v>
      </c>
      <c r="AA25" s="516"/>
      <c r="AB25" s="135"/>
    </row>
    <row r="26" spans="1:29" ht="15">
      <c r="A26" s="134"/>
      <c r="B26" s="1336"/>
      <c r="C26" s="132" t="s">
        <v>1188</v>
      </c>
      <c r="D26" s="127">
        <v>10019.362</v>
      </c>
      <c r="E26" s="127">
        <v>10013.806</v>
      </c>
      <c r="F26" s="127">
        <f t="shared" si="0"/>
        <v>2.44</v>
      </c>
      <c r="G26" s="127">
        <f t="shared" si="1"/>
        <v>452300</v>
      </c>
      <c r="H26" s="127">
        <f t="shared" si="2"/>
        <v>2.66</v>
      </c>
      <c r="I26" s="127">
        <f t="shared" si="3"/>
        <v>2442420</v>
      </c>
      <c r="J26" s="127">
        <v>2754819</v>
      </c>
      <c r="K26" s="127">
        <v>93341</v>
      </c>
      <c r="L26" s="161">
        <f>J26+K26</f>
        <v>2848160</v>
      </c>
      <c r="M26" s="151">
        <f>D26*J26+E26*K26</f>
        <v>28536227471.323997</v>
      </c>
      <c r="N26" s="128"/>
      <c r="O26" s="145">
        <v>9707060</v>
      </c>
      <c r="P26" s="522">
        <v>661060</v>
      </c>
      <c r="Q26" s="145">
        <v>9046000</v>
      </c>
      <c r="R26" s="174">
        <f t="shared" si="4"/>
        <v>6.810094920604179</v>
      </c>
      <c r="S26" s="174">
        <f t="shared" si="5"/>
        <v>2939.74</v>
      </c>
      <c r="T26" s="142"/>
      <c r="U26" s="119">
        <f t="shared" si="6"/>
        <v>10019.179916621257</v>
      </c>
      <c r="V26" s="157">
        <v>24502456</v>
      </c>
      <c r="W26" s="120">
        <f t="shared" si="7"/>
        <v>8.603</v>
      </c>
      <c r="X26" s="119">
        <f t="shared" si="8"/>
        <v>2.39</v>
      </c>
      <c r="Y26" s="157">
        <f t="shared" si="9"/>
        <v>21619940</v>
      </c>
      <c r="Z26" s="121">
        <f t="shared" si="10"/>
        <v>-2882516</v>
      </c>
      <c r="AA26" s="516"/>
      <c r="AB26" s="115"/>
      <c r="AC26" s="115"/>
    </row>
    <row r="27" spans="1:29" ht="15">
      <c r="A27" s="134"/>
      <c r="B27" s="1338"/>
      <c r="C27" s="132" t="s">
        <v>1187</v>
      </c>
      <c r="D27" s="129"/>
      <c r="E27" s="129"/>
      <c r="F27" s="127">
        <f t="shared" si="0"/>
        <v>2.44</v>
      </c>
      <c r="G27" s="127">
        <f t="shared" si="1"/>
        <v>912100</v>
      </c>
      <c r="H27" s="127">
        <f t="shared" si="2"/>
        <v>2.65</v>
      </c>
      <c r="I27" s="127">
        <f t="shared" si="3"/>
        <v>4742920</v>
      </c>
      <c r="J27" s="127"/>
      <c r="K27" s="127"/>
      <c r="L27" s="161">
        <f>L25+L26</f>
        <v>5720152</v>
      </c>
      <c r="M27" s="161">
        <f>M25+M26</f>
        <v>57403640358.756</v>
      </c>
      <c r="N27" s="128"/>
      <c r="O27" s="128">
        <v>19582940</v>
      </c>
      <c r="P27" s="128">
        <v>1340940</v>
      </c>
      <c r="Q27" s="128">
        <v>18242000</v>
      </c>
      <c r="R27" s="174">
        <f t="shared" si="4"/>
        <v>6.8474907240690115</v>
      </c>
      <c r="S27" s="174">
        <f t="shared" si="5"/>
        <v>2931.31</v>
      </c>
      <c r="T27" s="142"/>
      <c r="U27" s="119">
        <f t="shared" si="6"/>
        <v>10035.334788088847</v>
      </c>
      <c r="V27" s="121">
        <v>49289329</v>
      </c>
      <c r="W27" s="120">
        <f t="shared" si="7"/>
        <v>8.617</v>
      </c>
      <c r="X27" s="119">
        <f t="shared" si="8"/>
        <v>2.39</v>
      </c>
      <c r="Y27" s="157">
        <f t="shared" si="9"/>
        <v>43598380</v>
      </c>
      <c r="Z27" s="121">
        <f t="shared" si="10"/>
        <v>-5690949</v>
      </c>
      <c r="AA27" s="516">
        <f>O27*100/(780000*30)</f>
        <v>83.68777777777778</v>
      </c>
      <c r="AB27" s="115"/>
      <c r="AC27" s="135">
        <v>67383802</v>
      </c>
    </row>
    <row r="28" spans="1:29" ht="15">
      <c r="A28" s="1344">
        <v>9</v>
      </c>
      <c r="B28" s="1345" t="s">
        <v>1771</v>
      </c>
      <c r="C28" s="132" t="s">
        <v>1189</v>
      </c>
      <c r="D28" s="127">
        <v>10017.555</v>
      </c>
      <c r="E28" s="127">
        <v>10014.071</v>
      </c>
      <c r="F28" s="127" t="e">
        <f t="shared" si="0"/>
        <v>#DIV/0!</v>
      </c>
      <c r="G28" s="127" t="e">
        <f t="shared" si="1"/>
        <v>#DIV/0!</v>
      </c>
      <c r="H28" s="127" t="e">
        <f t="shared" si="2"/>
        <v>#DIV/0!</v>
      </c>
      <c r="I28" s="127" t="e">
        <f t="shared" si="3"/>
        <v>#DIV/0!</v>
      </c>
      <c r="J28" s="129">
        <v>2760000</v>
      </c>
      <c r="K28" s="129">
        <v>123792</v>
      </c>
      <c r="L28" s="161">
        <f>J28+K28</f>
        <v>2883792</v>
      </c>
      <c r="M28" s="151">
        <f>D28*J28+E28*K28</f>
        <v>28888113677.232</v>
      </c>
      <c r="N28" s="126"/>
      <c r="O28" s="136"/>
      <c r="P28" s="136"/>
      <c r="Q28" s="136"/>
      <c r="R28" s="174" t="e">
        <f t="shared" si="4"/>
        <v>#DIV/0!</v>
      </c>
      <c r="S28" s="174" t="e">
        <f t="shared" si="5"/>
        <v>#DIV/0!</v>
      </c>
      <c r="T28" s="1346"/>
      <c r="U28" s="119">
        <f t="shared" si="6"/>
        <v>10017.405442983405</v>
      </c>
      <c r="V28" s="135">
        <v>24781371</v>
      </c>
      <c r="W28" s="120">
        <f t="shared" si="7"/>
        <v>8.593</v>
      </c>
      <c r="X28" s="119">
        <f t="shared" si="8"/>
        <v>2.39</v>
      </c>
      <c r="Y28" s="157">
        <f t="shared" si="9"/>
        <v>0</v>
      </c>
      <c r="Z28" s="121">
        <f t="shared" si="10"/>
        <v>-24781371</v>
      </c>
      <c r="AA28" s="516">
        <f aca="true" t="shared" si="12" ref="AA28:AA38">O28*100/(780000*30)</f>
        <v>0</v>
      </c>
      <c r="AB28" s="115"/>
      <c r="AC28" s="115"/>
    </row>
    <row r="29" spans="1:29" ht="15">
      <c r="A29" s="1344"/>
      <c r="B29" s="1345"/>
      <c r="C29" s="132" t="s">
        <v>1188</v>
      </c>
      <c r="D29" s="129">
        <v>9969.731</v>
      </c>
      <c r="E29" s="129">
        <v>9966.048</v>
      </c>
      <c r="F29" s="127" t="e">
        <f t="shared" si="0"/>
        <v>#DIV/0!</v>
      </c>
      <c r="G29" s="127" t="e">
        <f t="shared" si="1"/>
        <v>#DIV/0!</v>
      </c>
      <c r="H29" s="127" t="e">
        <f t="shared" si="2"/>
        <v>#DIV/0!</v>
      </c>
      <c r="I29" s="127" t="e">
        <f t="shared" si="3"/>
        <v>#DIV/0!</v>
      </c>
      <c r="J29" s="129">
        <v>2944000</v>
      </c>
      <c r="K29" s="129">
        <v>161077</v>
      </c>
      <c r="L29" s="161">
        <f>J29+K29</f>
        <v>3105077</v>
      </c>
      <c r="M29" s="151">
        <f>D29*J29+E29*K29</f>
        <v>30956189177.696</v>
      </c>
      <c r="N29" s="126"/>
      <c r="O29" s="144"/>
      <c r="P29" s="144"/>
      <c r="Q29" s="144"/>
      <c r="R29" s="174" t="e">
        <f t="shared" si="4"/>
        <v>#DIV/0!</v>
      </c>
      <c r="S29" s="174" t="e">
        <f t="shared" si="5"/>
        <v>#DIV/0!</v>
      </c>
      <c r="T29" s="1346"/>
      <c r="U29" s="119">
        <f t="shared" si="6"/>
        <v>9969.53994303394</v>
      </c>
      <c r="V29" s="135">
        <v>26675148</v>
      </c>
      <c r="W29" s="120">
        <f t="shared" si="7"/>
        <v>8.591</v>
      </c>
      <c r="X29" s="119">
        <f t="shared" si="8"/>
        <v>2.4</v>
      </c>
      <c r="Y29" s="157">
        <f t="shared" si="9"/>
        <v>0</v>
      </c>
      <c r="Z29" s="121">
        <f t="shared" si="10"/>
        <v>-26675148</v>
      </c>
      <c r="AA29" s="516">
        <f t="shared" si="12"/>
        <v>0</v>
      </c>
      <c r="AB29" s="115"/>
      <c r="AC29" s="115"/>
    </row>
    <row r="30" spans="1:29" ht="15">
      <c r="A30" s="134"/>
      <c r="B30" s="133"/>
      <c r="C30" s="132" t="s">
        <v>1187</v>
      </c>
      <c r="D30" s="129"/>
      <c r="E30" s="129"/>
      <c r="F30" s="127">
        <f t="shared" si="0"/>
        <v>2.44</v>
      </c>
      <c r="G30" s="127">
        <f t="shared" si="1"/>
        <v>958700</v>
      </c>
      <c r="H30" s="127">
        <f t="shared" si="2"/>
        <v>2.63</v>
      </c>
      <c r="I30" s="127">
        <f t="shared" si="3"/>
        <v>4601760</v>
      </c>
      <c r="J30" s="129"/>
      <c r="K30" s="129"/>
      <c r="L30" s="161">
        <f>L28+L29</f>
        <v>5988869</v>
      </c>
      <c r="M30" s="151">
        <f>M28+M29</f>
        <v>59844302854.92799</v>
      </c>
      <c r="N30" s="128"/>
      <c r="O30" s="128">
        <v>20595920</v>
      </c>
      <c r="P30" s="128">
        <v>1421920</v>
      </c>
      <c r="Q30" s="128">
        <v>19174000</v>
      </c>
      <c r="R30" s="174">
        <f t="shared" si="4"/>
        <v>6.903891644558728</v>
      </c>
      <c r="S30" s="174">
        <f t="shared" si="5"/>
        <v>2905.64</v>
      </c>
      <c r="T30" s="142"/>
      <c r="U30" s="119">
        <f t="shared" si="6"/>
        <v>9992.588392721229</v>
      </c>
      <c r="V30" s="121">
        <f>V28+V29</f>
        <v>51456519</v>
      </c>
      <c r="W30" s="120">
        <f t="shared" si="7"/>
        <v>8.592</v>
      </c>
      <c r="X30" s="119">
        <f t="shared" si="8"/>
        <v>2.39</v>
      </c>
      <c r="Y30" s="157">
        <f t="shared" si="9"/>
        <v>45825860</v>
      </c>
      <c r="Z30" s="121">
        <f t="shared" si="10"/>
        <v>-5630659</v>
      </c>
      <c r="AA30" s="516">
        <f>O30*100/(780000*31)</f>
        <v>85.17750206782465</v>
      </c>
      <c r="AB30" s="115"/>
      <c r="AC30" s="115">
        <v>69817695</v>
      </c>
    </row>
    <row r="31" spans="1:29" ht="15">
      <c r="A31" s="1344">
        <v>10</v>
      </c>
      <c r="B31" s="1345" t="s">
        <v>1772</v>
      </c>
      <c r="C31" s="132" t="s">
        <v>1189</v>
      </c>
      <c r="D31" s="129">
        <v>10002.213</v>
      </c>
      <c r="E31" s="129">
        <v>9999.516</v>
      </c>
      <c r="F31" s="127" t="e">
        <f t="shared" si="0"/>
        <v>#DIV/0!</v>
      </c>
      <c r="G31" s="127" t="e">
        <f t="shared" si="1"/>
        <v>#DIV/0!</v>
      </c>
      <c r="H31" s="127" t="e">
        <f t="shared" si="2"/>
        <v>#DIV/0!</v>
      </c>
      <c r="I31" s="127" t="e">
        <f t="shared" si="3"/>
        <v>#DIV/0!</v>
      </c>
      <c r="J31" s="129">
        <v>2685899</v>
      </c>
      <c r="K31" s="129">
        <v>109786</v>
      </c>
      <c r="L31" s="161">
        <f>J31+K31</f>
        <v>2795685</v>
      </c>
      <c r="M31" s="151">
        <f>D31*J31+E31*K31</f>
        <v>27962740758.063</v>
      </c>
      <c r="N31" s="126"/>
      <c r="O31" s="136"/>
      <c r="P31" s="136"/>
      <c r="Q31" s="136"/>
      <c r="R31" s="174" t="e">
        <f t="shared" si="4"/>
        <v>#DIV/0!</v>
      </c>
      <c r="S31" s="174" t="e">
        <f t="shared" si="5"/>
        <v>#DIV/0!</v>
      </c>
      <c r="T31" s="1346"/>
      <c r="U31" s="119">
        <f t="shared" si="6"/>
        <v>10002.107089340538</v>
      </c>
      <c r="V31" s="135">
        <v>23734978</v>
      </c>
      <c r="W31" s="120">
        <f t="shared" si="7"/>
        <v>8.49</v>
      </c>
      <c r="X31" s="119">
        <f t="shared" si="8"/>
        <v>2.36</v>
      </c>
      <c r="Y31" s="157">
        <f t="shared" si="9"/>
        <v>0</v>
      </c>
      <c r="Z31" s="121">
        <f t="shared" si="10"/>
        <v>-23734978</v>
      </c>
      <c r="AA31" s="516">
        <f t="shared" si="12"/>
        <v>0</v>
      </c>
      <c r="AB31" s="115"/>
      <c r="AC31" s="115"/>
    </row>
    <row r="32" spans="1:29" ht="15">
      <c r="A32" s="1344"/>
      <c r="B32" s="1345"/>
      <c r="C32" s="132" t="s">
        <v>1188</v>
      </c>
      <c r="D32" s="143">
        <v>10045.021</v>
      </c>
      <c r="E32" s="143">
        <v>10053.229</v>
      </c>
      <c r="F32" s="127" t="e">
        <f t="shared" si="0"/>
        <v>#DIV/0!</v>
      </c>
      <c r="G32" s="127" t="e">
        <f t="shared" si="1"/>
        <v>#DIV/0!</v>
      </c>
      <c r="H32" s="127" t="e">
        <f t="shared" si="2"/>
        <v>#DIV/0!</v>
      </c>
      <c r="I32" s="127" t="e">
        <f t="shared" si="3"/>
        <v>#DIV/0!</v>
      </c>
      <c r="J32" s="129">
        <v>2784018</v>
      </c>
      <c r="K32" s="129">
        <v>44339</v>
      </c>
      <c r="L32" s="161">
        <f>J32+K32</f>
        <v>2828357</v>
      </c>
      <c r="M32" s="151">
        <f>D32*J32+E32*K32</f>
        <v>28411269395.009003</v>
      </c>
      <c r="N32" s="126"/>
      <c r="O32" s="144"/>
      <c r="P32" s="144"/>
      <c r="Q32" s="144"/>
      <c r="R32" s="174" t="e">
        <f t="shared" si="4"/>
        <v>#DIV/0!</v>
      </c>
      <c r="S32" s="174" t="e">
        <f t="shared" si="5"/>
        <v>#DIV/0!</v>
      </c>
      <c r="T32" s="1346"/>
      <c r="U32" s="119">
        <f t="shared" si="6"/>
        <v>10045.149673470853</v>
      </c>
      <c r="V32" s="135">
        <v>24115763</v>
      </c>
      <c r="W32" s="120">
        <f t="shared" si="7"/>
        <v>8.526</v>
      </c>
      <c r="X32" s="119">
        <f t="shared" si="8"/>
        <v>2.36</v>
      </c>
      <c r="Y32" s="157">
        <f t="shared" si="9"/>
        <v>0</v>
      </c>
      <c r="Z32" s="121">
        <f t="shared" si="10"/>
        <v>-24115763</v>
      </c>
      <c r="AA32" s="516">
        <f t="shared" si="12"/>
        <v>0</v>
      </c>
      <c r="AB32" s="115"/>
      <c r="AC32" s="115"/>
    </row>
    <row r="33" spans="1:29" ht="15">
      <c r="A33" s="134"/>
      <c r="B33" s="133"/>
      <c r="C33" s="132" t="s">
        <v>1187</v>
      </c>
      <c r="D33" s="143"/>
      <c r="E33" s="143"/>
      <c r="F33" s="127">
        <f t="shared" si="0"/>
        <v>2.42</v>
      </c>
      <c r="G33" s="127">
        <f t="shared" si="1"/>
        <v>1005315.9720000029</v>
      </c>
      <c r="H33" s="127">
        <f t="shared" si="2"/>
        <v>2.79</v>
      </c>
      <c r="I33" s="127">
        <f t="shared" si="3"/>
        <v>7204764.466000006</v>
      </c>
      <c r="J33" s="129"/>
      <c r="K33" s="129"/>
      <c r="L33" s="161">
        <f>L31+L32</f>
        <v>5624042</v>
      </c>
      <c r="M33" s="161">
        <f>M31+M32</f>
        <v>56374010153.07201</v>
      </c>
      <c r="N33" s="128"/>
      <c r="O33" s="128">
        <v>18036070</v>
      </c>
      <c r="P33" s="128">
        <v>1276070</v>
      </c>
      <c r="Q33" s="128">
        <v>16755266.2</v>
      </c>
      <c r="R33" s="174">
        <f t="shared" si="4"/>
        <v>7.075100063373007</v>
      </c>
      <c r="S33" s="174">
        <f t="shared" si="5"/>
        <v>3125.63</v>
      </c>
      <c r="T33" s="142"/>
      <c r="U33" s="119">
        <f t="shared" si="6"/>
        <v>10023.753406015105</v>
      </c>
      <c r="V33" s="121">
        <v>47850741</v>
      </c>
      <c r="W33" s="120">
        <f t="shared" si="7"/>
        <v>8.508</v>
      </c>
      <c r="X33" s="119">
        <f t="shared" si="8"/>
        <v>2.36</v>
      </c>
      <c r="Y33" s="157">
        <f t="shared" si="9"/>
        <v>39542428.23199999</v>
      </c>
      <c r="Z33" s="121">
        <f t="shared" si="10"/>
        <v>-8308312.768000007</v>
      </c>
      <c r="AA33" s="516">
        <f>O33*100/(780000*31)</f>
        <v>74.59086021505377</v>
      </c>
      <c r="AB33" s="115"/>
      <c r="AC33" s="115">
        <v>61332509</v>
      </c>
    </row>
    <row r="34" spans="1:29" ht="15">
      <c r="A34" s="1344">
        <v>11</v>
      </c>
      <c r="B34" s="1345" t="s">
        <v>1773</v>
      </c>
      <c r="C34" s="132" t="s">
        <v>1189</v>
      </c>
      <c r="D34" s="129">
        <v>10038.105</v>
      </c>
      <c r="E34" s="129">
        <v>10043.045</v>
      </c>
      <c r="F34" s="127" t="e">
        <f t="shared" si="0"/>
        <v>#DIV/0!</v>
      </c>
      <c r="G34" s="127" t="e">
        <f t="shared" si="1"/>
        <v>#DIV/0!</v>
      </c>
      <c r="H34" s="127" t="e">
        <f t="shared" si="2"/>
        <v>#DIV/0!</v>
      </c>
      <c r="I34" s="127" t="e">
        <f t="shared" si="3"/>
        <v>#DIV/0!</v>
      </c>
      <c r="J34" s="129">
        <v>2647081</v>
      </c>
      <c r="K34" s="129">
        <v>88146</v>
      </c>
      <c r="L34" s="161">
        <f>J34+K34</f>
        <v>2735227</v>
      </c>
      <c r="M34" s="151">
        <f>D34*J34+E34*K34</f>
        <v>27456931266.074997</v>
      </c>
      <c r="N34" s="126"/>
      <c r="O34" s="136"/>
      <c r="P34" s="136"/>
      <c r="Q34" s="136"/>
      <c r="R34" s="174" t="e">
        <f t="shared" si="4"/>
        <v>#DIV/0!</v>
      </c>
      <c r="S34" s="174" t="e">
        <f t="shared" si="5"/>
        <v>#DIV/0!</v>
      </c>
      <c r="T34" s="1346"/>
      <c r="U34" s="119">
        <f t="shared" si="6"/>
        <v>10038.264197477942</v>
      </c>
      <c r="V34" s="121">
        <v>23113432</v>
      </c>
      <c r="W34" s="120">
        <f t="shared" si="7"/>
        <v>8.45</v>
      </c>
      <c r="X34" s="119">
        <f t="shared" si="8"/>
        <v>2.34</v>
      </c>
      <c r="Y34" s="157">
        <f t="shared" si="9"/>
        <v>0</v>
      </c>
      <c r="Z34" s="121">
        <f t="shared" si="10"/>
        <v>-23113432</v>
      </c>
      <c r="AA34" s="516">
        <f t="shared" si="12"/>
        <v>0</v>
      </c>
      <c r="AB34" s="115"/>
      <c r="AC34" s="115"/>
    </row>
    <row r="35" spans="1:29" ht="15">
      <c r="A35" s="1344"/>
      <c r="B35" s="1345"/>
      <c r="C35" s="132" t="s">
        <v>1188</v>
      </c>
      <c r="D35" s="129">
        <v>10013.881</v>
      </c>
      <c r="E35" s="129">
        <v>10016.155</v>
      </c>
      <c r="F35" s="127" t="e">
        <f t="shared" si="0"/>
        <v>#DIV/0!</v>
      </c>
      <c r="G35" s="127" t="e">
        <f t="shared" si="1"/>
        <v>#DIV/0!</v>
      </c>
      <c r="H35" s="127" t="e">
        <f t="shared" si="2"/>
        <v>#DIV/0!</v>
      </c>
      <c r="I35" s="127" t="e">
        <f t="shared" si="3"/>
        <v>#DIV/0!</v>
      </c>
      <c r="J35" s="129">
        <v>2375707</v>
      </c>
      <c r="K35" s="129">
        <v>52513</v>
      </c>
      <c r="L35" s="161">
        <f>J35+K35</f>
        <v>2428220</v>
      </c>
      <c r="M35" s="151">
        <f>D35*J35+E35*K35</f>
        <v>24316025536.381996</v>
      </c>
      <c r="N35" s="126"/>
      <c r="O35" s="144"/>
      <c r="P35" s="144"/>
      <c r="Q35" s="136"/>
      <c r="R35" s="174" t="e">
        <f t="shared" si="4"/>
        <v>#DIV/0!</v>
      </c>
      <c r="S35" s="174" t="e">
        <f t="shared" si="5"/>
        <v>#DIV/0!</v>
      </c>
      <c r="T35" s="1346"/>
      <c r="U35" s="119">
        <f t="shared" si="6"/>
        <v>10013.930177818318</v>
      </c>
      <c r="V35" s="135">
        <v>20469363</v>
      </c>
      <c r="W35" s="120">
        <f t="shared" si="7"/>
        <v>8.43</v>
      </c>
      <c r="X35" s="119">
        <f t="shared" si="8"/>
        <v>2.34</v>
      </c>
      <c r="Y35" s="157">
        <f t="shared" si="9"/>
        <v>0</v>
      </c>
      <c r="Z35" s="121">
        <f t="shared" si="10"/>
        <v>-20469363</v>
      </c>
      <c r="AA35" s="516">
        <f t="shared" si="12"/>
        <v>0</v>
      </c>
      <c r="AB35" s="115"/>
      <c r="AC35" s="115"/>
    </row>
    <row r="36" spans="1:29" ht="15">
      <c r="A36" s="134"/>
      <c r="B36" s="133"/>
      <c r="C36" s="132" t="s">
        <v>1187</v>
      </c>
      <c r="D36" s="129"/>
      <c r="E36" s="129"/>
      <c r="F36" s="127">
        <f t="shared" si="0"/>
        <v>2.38</v>
      </c>
      <c r="G36" s="127">
        <f t="shared" si="1"/>
        <v>622996.7839999944</v>
      </c>
      <c r="H36" s="127">
        <f t="shared" si="2"/>
        <v>2.76</v>
      </c>
      <c r="I36" s="127">
        <f t="shared" si="3"/>
        <v>6541466.231999993</v>
      </c>
      <c r="J36" s="129"/>
      <c r="K36" s="129"/>
      <c r="L36" s="161">
        <f>L34+L35</f>
        <v>5163447</v>
      </c>
      <c r="M36" s="161">
        <f>M34+M35</f>
        <v>51772956802.45699</v>
      </c>
      <c r="N36" s="126"/>
      <c r="O36" s="523">
        <v>16624020</v>
      </c>
      <c r="P36" s="523">
        <v>1044020</v>
      </c>
      <c r="Q36" s="524">
        <v>15574919.6</v>
      </c>
      <c r="R36" s="174">
        <f t="shared" si="4"/>
        <v>6.2801897495311</v>
      </c>
      <c r="S36" s="174">
        <f t="shared" si="5"/>
        <v>3114.35</v>
      </c>
      <c r="T36" s="109"/>
      <c r="U36" s="119">
        <f t="shared" si="6"/>
        <v>10026.820610816185</v>
      </c>
      <c r="V36" s="520">
        <f>V34+V35</f>
        <v>43582795</v>
      </c>
      <c r="W36" s="120">
        <f t="shared" si="7"/>
        <v>8.441</v>
      </c>
      <c r="X36" s="119">
        <f t="shared" si="8"/>
        <v>2.34</v>
      </c>
      <c r="Y36" s="157">
        <f t="shared" si="9"/>
        <v>36445311.864</v>
      </c>
      <c r="Z36" s="121">
        <f t="shared" si="10"/>
        <v>-7137483.136</v>
      </c>
      <c r="AA36" s="516">
        <f>O36*100/(780000*28)</f>
        <v>76.11730769230769</v>
      </c>
      <c r="AB36" s="115"/>
      <c r="AC36" s="115">
        <v>58701340</v>
      </c>
    </row>
    <row r="37" spans="1:29" ht="15">
      <c r="A37" s="1344">
        <v>12</v>
      </c>
      <c r="B37" s="1345" t="s">
        <v>1774</v>
      </c>
      <c r="C37" s="132" t="s">
        <v>1189</v>
      </c>
      <c r="D37" s="129">
        <v>10001.724</v>
      </c>
      <c r="E37" s="129">
        <v>10000.52</v>
      </c>
      <c r="F37" s="127" t="e">
        <f t="shared" si="0"/>
        <v>#DIV/0!</v>
      </c>
      <c r="G37" s="127" t="e">
        <f t="shared" si="1"/>
        <v>#DIV/0!</v>
      </c>
      <c r="H37" s="127" t="e">
        <f t="shared" si="2"/>
        <v>#DIV/0!</v>
      </c>
      <c r="I37" s="127" t="e">
        <f t="shared" si="3"/>
        <v>#DIV/0!</v>
      </c>
      <c r="J37" s="129">
        <v>2743937</v>
      </c>
      <c r="K37" s="129">
        <v>22860</v>
      </c>
      <c r="L37" s="161">
        <f>J37+K37</f>
        <v>2766797</v>
      </c>
      <c r="M37" s="151">
        <f>D37*J37+E37*K37</f>
        <v>27672712434.588</v>
      </c>
      <c r="N37" s="126"/>
      <c r="O37" s="136"/>
      <c r="P37" s="136"/>
      <c r="Q37" s="136"/>
      <c r="R37" s="174" t="e">
        <f t="shared" si="4"/>
        <v>#DIV/0!</v>
      </c>
      <c r="S37" s="174" t="e">
        <f t="shared" si="5"/>
        <v>#DIV/0!</v>
      </c>
      <c r="T37" s="91"/>
      <c r="U37" s="119">
        <f t="shared" si="6"/>
        <v>10001.7140522373</v>
      </c>
      <c r="V37" s="135">
        <v>25331358</v>
      </c>
      <c r="W37" s="120">
        <f t="shared" si="7"/>
        <v>9.155</v>
      </c>
      <c r="X37" s="119">
        <f t="shared" si="8"/>
        <v>2.55</v>
      </c>
      <c r="Y37" s="157">
        <f t="shared" si="9"/>
        <v>0</v>
      </c>
      <c r="Z37" s="121">
        <f t="shared" si="10"/>
        <v>-25331358</v>
      </c>
      <c r="AA37" s="516">
        <f t="shared" si="12"/>
        <v>0</v>
      </c>
      <c r="AB37" s="115"/>
      <c r="AC37" s="115"/>
    </row>
    <row r="38" spans="1:29" ht="15">
      <c r="A38" s="1333"/>
      <c r="B38" s="1336"/>
      <c r="C38" s="140" t="s">
        <v>1188</v>
      </c>
      <c r="D38" s="139">
        <v>9984.698</v>
      </c>
      <c r="E38" s="139">
        <v>9995.491</v>
      </c>
      <c r="F38" s="127" t="e">
        <f t="shared" si="0"/>
        <v>#DIV/0!</v>
      </c>
      <c r="G38" s="127" t="e">
        <f t="shared" si="1"/>
        <v>#DIV/0!</v>
      </c>
      <c r="H38" s="127" t="e">
        <f t="shared" si="2"/>
        <v>#DIV/0!</v>
      </c>
      <c r="I38" s="127" t="e">
        <f t="shared" si="3"/>
        <v>#DIV/0!</v>
      </c>
      <c r="J38" s="139">
        <v>2921672</v>
      </c>
      <c r="K38" s="139">
        <v>25955</v>
      </c>
      <c r="L38" s="161">
        <f>J38+K38</f>
        <v>2947627</v>
      </c>
      <c r="M38" s="151">
        <f>D38*J38+E38*K38</f>
        <v>29431445543.961</v>
      </c>
      <c r="N38" s="137"/>
      <c r="O38" s="523"/>
      <c r="P38" s="523"/>
      <c r="Q38" s="136"/>
      <c r="R38" s="174" t="e">
        <f t="shared" si="4"/>
        <v>#DIV/0!</v>
      </c>
      <c r="S38" s="174" t="e">
        <f t="shared" si="5"/>
        <v>#DIV/0!</v>
      </c>
      <c r="T38" s="91"/>
      <c r="U38" s="119">
        <f t="shared" si="6"/>
        <v>9984.793036554829</v>
      </c>
      <c r="V38" s="152">
        <v>25026868</v>
      </c>
      <c r="W38" s="120">
        <f t="shared" si="7"/>
        <v>8.491</v>
      </c>
      <c r="X38" s="119">
        <f t="shared" si="8"/>
        <v>2.37</v>
      </c>
      <c r="Y38" s="157">
        <f t="shared" si="9"/>
        <v>0</v>
      </c>
      <c r="Z38" s="121">
        <f t="shared" si="10"/>
        <v>-25026868</v>
      </c>
      <c r="AA38" s="516">
        <f t="shared" si="12"/>
        <v>0</v>
      </c>
      <c r="AB38" s="115"/>
      <c r="AC38" s="115"/>
    </row>
    <row r="39" spans="1:29" ht="15">
      <c r="A39" s="134"/>
      <c r="B39" s="133"/>
      <c r="C39" s="132" t="s">
        <v>1187</v>
      </c>
      <c r="D39" s="129"/>
      <c r="E39" s="129"/>
      <c r="F39" s="127">
        <f t="shared" si="0"/>
        <v>2.5</v>
      </c>
      <c r="G39" s="127">
        <f t="shared" si="1"/>
        <v>814480</v>
      </c>
      <c r="H39" s="130"/>
      <c r="I39" s="127">
        <f t="shared" si="3"/>
        <v>-50090520</v>
      </c>
      <c r="J39" s="129"/>
      <c r="K39" s="129"/>
      <c r="L39" s="161">
        <f>L37+L38</f>
        <v>5714424</v>
      </c>
      <c r="M39" s="161">
        <f>M37+M38</f>
        <v>57104157978.548996</v>
      </c>
      <c r="N39" s="126"/>
      <c r="O39" s="115">
        <v>21826190</v>
      </c>
      <c r="P39" s="115">
        <v>1464190</v>
      </c>
      <c r="Q39" s="525">
        <v>20362000</v>
      </c>
      <c r="R39" s="174">
        <f t="shared" si="4"/>
        <v>6.708408567871901</v>
      </c>
      <c r="S39" s="123"/>
      <c r="T39" s="122"/>
      <c r="U39" s="119">
        <f t="shared" si="6"/>
        <v>9992.985815989327</v>
      </c>
      <c r="V39" s="520">
        <f>V37+V38</f>
        <v>50358226</v>
      </c>
      <c r="W39" s="120">
        <f t="shared" si="7"/>
        <v>8.812</v>
      </c>
      <c r="X39" s="119">
        <f t="shared" si="8"/>
        <v>2.46</v>
      </c>
      <c r="Y39" s="157">
        <f t="shared" si="9"/>
        <v>50090520</v>
      </c>
      <c r="Z39" s="121"/>
      <c r="AA39" s="516">
        <f>O39*100/(780000*31)</f>
        <v>90.26546732837055</v>
      </c>
      <c r="AB39" s="115"/>
      <c r="AC39" s="115">
        <v>74980660</v>
      </c>
    </row>
    <row r="40" spans="1:29" ht="15">
      <c r="A40" s="106"/>
      <c r="B40" s="105"/>
      <c r="C40" s="113"/>
      <c r="D40" s="111"/>
      <c r="E40" s="111"/>
      <c r="F40" s="111"/>
      <c r="G40" s="111"/>
      <c r="H40" s="112"/>
      <c r="I40" s="111"/>
      <c r="J40" s="111"/>
      <c r="K40" s="111"/>
      <c r="L40" s="111"/>
      <c r="M40" s="110"/>
      <c r="N40" s="110"/>
      <c r="O40" s="109"/>
      <c r="P40" s="109"/>
      <c r="Q40" s="108"/>
      <c r="R40" s="91"/>
      <c r="S40" s="91"/>
      <c r="T40" s="91"/>
      <c r="U40" s="91"/>
      <c r="V40" s="91"/>
      <c r="W40" s="91"/>
      <c r="X40" s="99"/>
      <c r="Y40" s="100"/>
      <c r="Z40" s="96">
        <f>SUM(Z6,Z9,Z12,Z15,Z18,Z21,Z24,Z27,Z30,Z33,Z36,Z39)</f>
        <v>-63967979.53400001</v>
      </c>
      <c r="AA40" s="100"/>
      <c r="AB40" s="100">
        <f>SUM(AB5:AB39)</f>
        <v>61</v>
      </c>
      <c r="AC40" s="100">
        <f>SUM(AC6:AC39)</f>
        <v>771381489</v>
      </c>
    </row>
    <row r="41" spans="1:29" ht="15">
      <c r="A41" s="106"/>
      <c r="B41" s="105"/>
      <c r="C41" s="91"/>
      <c r="D41" s="91"/>
      <c r="E41" s="91"/>
      <c r="F41" s="91"/>
      <c r="G41" s="91">
        <f>SUM(G6,G9,G12,G15,G18,G21,G24,G27,G30,G33,G36,G39)</f>
        <v>9326123.19200001</v>
      </c>
      <c r="H41" s="91"/>
      <c r="I41" s="91">
        <f>SUM(I6,I9,I12,I15,I18,I21,I24,I27,I30,I33,I36,I39)</f>
        <v>4591744.070000023</v>
      </c>
      <c r="J41" s="91"/>
      <c r="K41" s="91"/>
      <c r="L41" s="91"/>
      <c r="M41" s="91"/>
      <c r="N41" s="91"/>
      <c r="O41" s="102">
        <f>SUM(O6,O9,O12,O15,O18,O21,O24,O27,O30,O33,O36,O39)</f>
        <v>230502480</v>
      </c>
      <c r="P41" s="102">
        <f>SUM(P6,P9,P12,P15,P18,P21,P24,P27,P30,P33,P36,P39)</f>
        <v>15573423.4</v>
      </c>
      <c r="Q41" s="102">
        <f>SUM(Q6,Q9,Q12,Q15,Q18,Q21,Q24,Q27,Q30,Q33,Q36,Q39)</f>
        <v>214919242.39999998</v>
      </c>
      <c r="R41" s="101">
        <f>(P41/O41)*100</f>
        <v>6.756293207778068</v>
      </c>
      <c r="S41" s="91"/>
      <c r="T41" s="91"/>
      <c r="U41" s="91"/>
      <c r="V41" s="91">
        <f>SUM(V6,V9,V12,V15,V18,V21,V24,V27,V30,V33,V36,V39)</f>
        <v>543912563</v>
      </c>
      <c r="W41" s="91"/>
      <c r="X41" s="91"/>
      <c r="Y41" s="100">
        <f>SUM(Y6,Y9,Y12,Y15,Y18,Y21,Y24,Y27,Y30,Y33,Y36,Y39)</f>
        <v>479676877.466</v>
      </c>
      <c r="Z41" s="104">
        <f>Z40/10000000</f>
        <v>-6.396797953400001</v>
      </c>
      <c r="AA41" s="100"/>
      <c r="AB41" s="100"/>
      <c r="AC41" s="96">
        <f>AC40/10000000</f>
        <v>77.1381489</v>
      </c>
    </row>
    <row r="42" spans="1:29" ht="15">
      <c r="A42" s="91"/>
      <c r="B42" s="91"/>
      <c r="C42" s="91"/>
      <c r="D42" s="91"/>
      <c r="E42" s="91"/>
      <c r="F42" s="91"/>
      <c r="G42" s="101">
        <f>G41/10000000</f>
        <v>0.9326123192000009</v>
      </c>
      <c r="H42" s="91"/>
      <c r="I42" s="101">
        <f>I41/10000000</f>
        <v>0.4591744070000023</v>
      </c>
      <c r="J42" s="91"/>
      <c r="K42" s="91"/>
      <c r="L42" s="102">
        <f>SUM(L6,L9,L12,L15,L18,L21,L24,L27,L30,L33,L36,L39)</f>
        <v>67605418</v>
      </c>
      <c r="M42" s="102">
        <f>SUM(M6,M9,M12,M15,M18,M21,M24,M27,M30,M33,M36,M39)</f>
        <v>679040388386.8419</v>
      </c>
      <c r="N42" s="91"/>
      <c r="O42" s="96">
        <f>O41/1000000</f>
        <v>230.50248</v>
      </c>
      <c r="P42" s="96">
        <f>P41/1000000</f>
        <v>15.573423400000001</v>
      </c>
      <c r="Q42" s="96">
        <f>Q41/1000000</f>
        <v>214.91924239999997</v>
      </c>
      <c r="R42" s="91"/>
      <c r="S42" s="91"/>
      <c r="T42" s="91"/>
      <c r="U42" s="91"/>
      <c r="V42" s="96">
        <f>V41/10000000</f>
        <v>54.3912563</v>
      </c>
      <c r="W42" s="91"/>
      <c r="X42" s="91"/>
      <c r="Y42" s="96">
        <f>Y41/10000000</f>
        <v>47.9676877466</v>
      </c>
      <c r="Z42" s="100"/>
      <c r="AA42" s="100"/>
      <c r="AB42" s="100"/>
      <c r="AC42" s="100"/>
    </row>
    <row r="43" spans="1:29" ht="15">
      <c r="A43" s="91"/>
      <c r="B43" s="91"/>
      <c r="C43" s="91"/>
      <c r="D43" s="91"/>
      <c r="E43" s="91"/>
      <c r="F43" s="91"/>
      <c r="G43" s="91"/>
      <c r="H43" s="91"/>
      <c r="I43" s="91"/>
      <c r="J43" s="91"/>
      <c r="K43" s="91"/>
      <c r="L43" s="91"/>
      <c r="M43" s="91"/>
      <c r="N43" s="91"/>
      <c r="O43" s="91"/>
      <c r="P43" s="101">
        <f>P41*100/O41</f>
        <v>6.756293207778068</v>
      </c>
      <c r="Q43" s="91"/>
      <c r="R43" s="91"/>
      <c r="S43" s="91"/>
      <c r="T43" s="91"/>
      <c r="U43" s="91"/>
      <c r="V43" s="91"/>
      <c r="W43" s="91"/>
      <c r="X43" s="91"/>
      <c r="Y43" s="91"/>
      <c r="Z43" s="91"/>
      <c r="AA43" s="91"/>
      <c r="AB43" s="91"/>
      <c r="AC43" s="91"/>
    </row>
    <row r="44" spans="1:29" ht="15">
      <c r="A44" s="1347" t="s">
        <v>1186</v>
      </c>
      <c r="B44" s="1347"/>
      <c r="C44" s="1347"/>
      <c r="D44" s="1347"/>
      <c r="E44" s="1347"/>
      <c r="F44" s="1347"/>
      <c r="G44" s="1347"/>
      <c r="H44" s="1347"/>
      <c r="I44" s="1347"/>
      <c r="J44" s="1347"/>
      <c r="K44" s="91" t="s">
        <v>1185</v>
      </c>
      <c r="L44" s="91"/>
      <c r="M44" s="98">
        <f>M42/L42</f>
        <v>10044.17114005333</v>
      </c>
      <c r="N44" s="91"/>
      <c r="O44" s="91" t="s">
        <v>1184</v>
      </c>
      <c r="P44" s="91"/>
      <c r="Q44" s="91"/>
      <c r="R44" s="91"/>
      <c r="S44" s="91"/>
      <c r="T44" s="91"/>
      <c r="U44" s="91" t="s">
        <v>1183</v>
      </c>
      <c r="V44" s="101">
        <f>(O41*100)/(780000*AB40)</f>
        <v>484.45245901639345</v>
      </c>
      <c r="W44" s="91"/>
      <c r="X44" s="91"/>
      <c r="Y44" s="91"/>
      <c r="Z44" s="91">
        <f>Q15*X15</f>
        <v>37653972.928</v>
      </c>
      <c r="AA44" s="91"/>
      <c r="AB44" s="91"/>
      <c r="AC44" s="91"/>
    </row>
    <row r="45" spans="1:29" ht="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f>19928367.8*2.87</f>
        <v>57194415.586</v>
      </c>
      <c r="AA45" s="91"/>
      <c r="AB45" s="91"/>
      <c r="AC45" s="91"/>
    </row>
    <row r="46" spans="1:29" ht="15">
      <c r="A46" s="1347" t="s">
        <v>1182</v>
      </c>
      <c r="B46" s="1347"/>
      <c r="C46" s="1347"/>
      <c r="D46" s="1347"/>
      <c r="E46" s="99">
        <f>ROUND((L42*M44)/O41,2)</f>
        <v>2945.91</v>
      </c>
      <c r="F46" s="99"/>
      <c r="G46" s="98">
        <f>(L42*M44)/O41</f>
        <v>2945.9135901133986</v>
      </c>
      <c r="H46" s="91"/>
      <c r="I46" s="91"/>
      <c r="J46" s="91" t="s">
        <v>1181</v>
      </c>
      <c r="K46" s="91"/>
      <c r="L46" s="91"/>
      <c r="M46" s="91"/>
      <c r="N46" s="91"/>
      <c r="O46" s="91"/>
      <c r="P46" s="91"/>
      <c r="Q46" s="91"/>
      <c r="R46" s="91"/>
      <c r="S46" s="91"/>
      <c r="T46" s="91"/>
      <c r="U46" s="91"/>
      <c r="V46" s="91"/>
      <c r="W46" s="91"/>
      <c r="X46" s="91"/>
      <c r="Y46" s="91"/>
      <c r="Z46" s="91"/>
      <c r="AA46" s="91"/>
      <c r="AB46" s="91"/>
      <c r="AC46" s="91"/>
    </row>
    <row r="47" spans="1:29" ht="15">
      <c r="A47" s="91"/>
      <c r="B47" s="91"/>
      <c r="C47" s="91"/>
      <c r="D47" s="91"/>
      <c r="E47" s="91"/>
      <c r="F47" s="91"/>
      <c r="G47" s="91"/>
      <c r="H47" s="91"/>
      <c r="I47" s="91"/>
      <c r="J47" s="91"/>
      <c r="K47" s="91"/>
      <c r="L47" s="91"/>
      <c r="M47" s="91" t="s">
        <v>1775</v>
      </c>
      <c r="N47" s="91"/>
      <c r="O47" s="91"/>
      <c r="P47" s="91"/>
      <c r="Q47" s="91"/>
      <c r="R47" s="91"/>
      <c r="S47" s="91"/>
      <c r="T47" s="91"/>
      <c r="U47" s="91"/>
      <c r="V47" s="91"/>
      <c r="W47" s="91"/>
      <c r="X47" s="91"/>
      <c r="Y47" s="91"/>
      <c r="Z47" s="91"/>
      <c r="AA47" s="91"/>
      <c r="AB47" s="91"/>
      <c r="AC47" s="91"/>
    </row>
    <row r="48" spans="1:29" ht="15">
      <c r="A48" s="91" t="s">
        <v>1180</v>
      </c>
      <c r="B48" s="91"/>
      <c r="C48" s="91"/>
      <c r="D48" s="91"/>
      <c r="E48" s="91"/>
      <c r="F48" s="91"/>
      <c r="G48" s="91"/>
      <c r="H48" s="91"/>
      <c r="I48" s="91" t="s">
        <v>1179</v>
      </c>
      <c r="J48" s="91"/>
      <c r="K48" s="91" t="s">
        <v>1178</v>
      </c>
      <c r="L48" s="96">
        <f>(2646*C50*100)/(M44*(100-5))</f>
        <v>2.231000760409785</v>
      </c>
      <c r="M48" s="91"/>
      <c r="N48" s="91"/>
      <c r="O48" s="91"/>
      <c r="P48" s="91"/>
      <c r="Q48" s="91"/>
      <c r="R48" s="91"/>
      <c r="S48" s="91"/>
      <c r="T48" s="91"/>
      <c r="U48" s="91"/>
      <c r="V48" s="91"/>
      <c r="W48" s="91"/>
      <c r="X48" s="91"/>
      <c r="Y48" s="91"/>
      <c r="Z48" s="91"/>
      <c r="AA48" s="91"/>
      <c r="AB48" s="91"/>
      <c r="AC48" s="91"/>
    </row>
    <row r="49" spans="1:29" ht="1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row>
    <row r="50" spans="1:29" ht="15">
      <c r="A50" s="91"/>
      <c r="B50" s="91" t="s">
        <v>1177</v>
      </c>
      <c r="C50" s="97">
        <f>V41/L42</f>
        <v>8.04539900929242</v>
      </c>
      <c r="D50" s="96">
        <f>V41*1000/L42</f>
        <v>8045.3990092924205</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row>
    <row r="51" spans="1:29" ht="15">
      <c r="A51" s="91"/>
      <c r="B51" s="91"/>
      <c r="C51" s="95"/>
      <c r="D51" s="91"/>
      <c r="E51" s="91"/>
      <c r="F51" s="91"/>
      <c r="G51" s="94"/>
      <c r="H51" s="93"/>
      <c r="I51" s="92"/>
      <c r="J51" s="91"/>
      <c r="K51" s="91"/>
      <c r="L51" s="91"/>
      <c r="M51" s="91"/>
      <c r="N51" s="91"/>
      <c r="O51" s="91"/>
      <c r="P51" s="91"/>
      <c r="Q51" s="91"/>
      <c r="R51" s="91"/>
      <c r="S51" s="91"/>
      <c r="T51" s="91"/>
      <c r="U51" s="91"/>
      <c r="V51" s="91"/>
      <c r="W51" s="91"/>
      <c r="X51" s="91"/>
      <c r="Y51" s="91"/>
      <c r="Z51" s="91"/>
      <c r="AA51" s="91"/>
      <c r="AB51" s="91"/>
      <c r="AC51" s="91"/>
    </row>
  </sheetData>
  <sheetProtection/>
  <mergeCells count="38">
    <mergeCell ref="A46:D46"/>
    <mergeCell ref="A34:A35"/>
    <mergeCell ref="B34:B35"/>
    <mergeCell ref="T34:T35"/>
    <mergeCell ref="A37:A38"/>
    <mergeCell ref="B37:B38"/>
    <mergeCell ref="A44:J44"/>
    <mergeCell ref="B26:B27"/>
    <mergeCell ref="A28:A29"/>
    <mergeCell ref="B28:B29"/>
    <mergeCell ref="T28:T29"/>
    <mergeCell ref="A31:A32"/>
    <mergeCell ref="B31:B32"/>
    <mergeCell ref="T31:T32"/>
    <mergeCell ref="A19:A20"/>
    <mergeCell ref="B19:B20"/>
    <mergeCell ref="T19:T20"/>
    <mergeCell ref="A23:A24"/>
    <mergeCell ref="B23:B24"/>
    <mergeCell ref="T23:T24"/>
    <mergeCell ref="A13:A14"/>
    <mergeCell ref="B13:B14"/>
    <mergeCell ref="T13:T14"/>
    <mergeCell ref="A16:A17"/>
    <mergeCell ref="B16:B17"/>
    <mergeCell ref="T16:T17"/>
    <mergeCell ref="A7:A8"/>
    <mergeCell ref="B7:B8"/>
    <mergeCell ref="T7:T8"/>
    <mergeCell ref="A10:A11"/>
    <mergeCell ref="B10:B11"/>
    <mergeCell ref="T10:T11"/>
    <mergeCell ref="A1:AC1"/>
    <mergeCell ref="D2:G2"/>
    <mergeCell ref="H2:I2"/>
    <mergeCell ref="J2:L2"/>
    <mergeCell ref="A4:A6"/>
    <mergeCell ref="B4:B6"/>
  </mergeCells>
  <printOptions horizontalCentered="1" verticalCentered="1"/>
  <pageMargins left="0.21" right="0.16" top="0.27" bottom="0.2" header="0.3" footer="0.3"/>
  <pageSetup horizontalDpi="600" verticalDpi="600" orientation="landscape" paperSize="9" scale="50" r:id="rId1"/>
</worksheet>
</file>

<file path=xl/worksheets/sheet33.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D16"/>
    </sheetView>
  </sheetViews>
  <sheetFormatPr defaultColWidth="9.33203125" defaultRowHeight="12.75"/>
  <cols>
    <col min="1" max="1" width="9.33203125" style="90" customWidth="1"/>
    <col min="2" max="2" width="27" style="90" customWidth="1"/>
    <col min="3" max="3" width="17.33203125" style="90" customWidth="1"/>
    <col min="4" max="4" width="16.16015625" style="90" customWidth="1"/>
    <col min="5" max="16384" width="9.33203125" style="90" customWidth="1"/>
  </cols>
  <sheetData>
    <row r="1" spans="1:7" ht="28.5" customHeight="1">
      <c r="A1" s="1348" t="s">
        <v>1744</v>
      </c>
      <c r="B1" s="1348"/>
      <c r="C1" s="1348"/>
      <c r="D1" s="1348"/>
      <c r="E1" s="502"/>
      <c r="F1" s="502"/>
      <c r="G1" s="502"/>
    </row>
    <row r="2" spans="1:8" ht="30">
      <c r="A2" s="503" t="s">
        <v>1257</v>
      </c>
      <c r="B2" s="503" t="s">
        <v>1745</v>
      </c>
      <c r="C2" s="503" t="s">
        <v>1746</v>
      </c>
      <c r="D2" s="504" t="s">
        <v>1747</v>
      </c>
      <c r="E2" s="505"/>
      <c r="F2" s="505"/>
      <c r="G2" s="505"/>
      <c r="H2" s="505"/>
    </row>
    <row r="3" spans="1:8" ht="15">
      <c r="A3" s="503"/>
      <c r="B3" s="503"/>
      <c r="C3" s="503"/>
      <c r="D3" s="503"/>
      <c r="E3" s="505"/>
      <c r="F3" s="505"/>
      <c r="G3" s="505"/>
      <c r="H3" s="505"/>
    </row>
    <row r="4" spans="1:8" ht="30">
      <c r="A4" s="506">
        <v>1</v>
      </c>
      <c r="B4" s="507" t="s">
        <v>1748</v>
      </c>
      <c r="C4" s="506" t="s">
        <v>1749</v>
      </c>
      <c r="D4" s="503">
        <v>84150000</v>
      </c>
      <c r="E4" s="505"/>
      <c r="F4" s="505"/>
      <c r="G4" s="505"/>
      <c r="H4" s="505"/>
    </row>
    <row r="5" spans="1:8" ht="30">
      <c r="A5" s="506">
        <v>2</v>
      </c>
      <c r="B5" s="507" t="s">
        <v>1750</v>
      </c>
      <c r="C5" s="506" t="s">
        <v>1749</v>
      </c>
      <c r="D5" s="503">
        <v>18470915.65</v>
      </c>
      <c r="E5" s="505"/>
      <c r="F5" s="505"/>
      <c r="G5" s="505"/>
      <c r="H5" s="505"/>
    </row>
    <row r="6" spans="1:8" ht="45">
      <c r="A6" s="506">
        <v>3</v>
      </c>
      <c r="B6" s="507" t="s">
        <v>1751</v>
      </c>
      <c r="C6" s="506" t="s">
        <v>1749</v>
      </c>
      <c r="D6" s="503">
        <v>9199073.56</v>
      </c>
      <c r="E6" s="505"/>
      <c r="F6" s="505"/>
      <c r="G6" s="505"/>
      <c r="H6" s="505"/>
    </row>
    <row r="7" spans="1:8" ht="15">
      <c r="A7" s="503"/>
      <c r="B7" s="503"/>
      <c r="C7" s="503" t="s">
        <v>1387</v>
      </c>
      <c r="D7" s="508">
        <f>D4+D5+D6</f>
        <v>111819989.21000001</v>
      </c>
      <c r="E7" s="505"/>
      <c r="F7" s="505"/>
      <c r="G7" s="505"/>
      <c r="H7" s="505"/>
    </row>
    <row r="8" spans="1:8" ht="30">
      <c r="A8" s="503"/>
      <c r="B8" s="503"/>
      <c r="C8" s="507" t="s">
        <v>1752</v>
      </c>
      <c r="D8" s="503">
        <f>D7*0.11</f>
        <v>12300198.8131</v>
      </c>
      <c r="E8" s="505"/>
      <c r="F8" s="505"/>
      <c r="G8" s="505"/>
      <c r="H8" s="505"/>
    </row>
    <row r="9" spans="1:8" ht="30">
      <c r="A9" s="503"/>
      <c r="B9" s="503"/>
      <c r="C9" s="507" t="s">
        <v>1753</v>
      </c>
      <c r="D9" s="508">
        <f>D7-D8</f>
        <v>99519790.39690001</v>
      </c>
      <c r="E9" s="505"/>
      <c r="F9" s="505"/>
      <c r="G9" s="505"/>
      <c r="H9" s="505"/>
    </row>
    <row r="10" spans="1:8" ht="15">
      <c r="A10" s="503"/>
      <c r="B10" s="503"/>
      <c r="C10" s="509" t="s">
        <v>1754</v>
      </c>
      <c r="D10" s="503">
        <f>D9*0.18</f>
        <v>17913562.271442004</v>
      </c>
      <c r="E10" s="505"/>
      <c r="F10" s="505"/>
      <c r="G10" s="505"/>
      <c r="H10" s="505"/>
    </row>
    <row r="11" spans="1:8" ht="15">
      <c r="A11" s="503"/>
      <c r="B11" s="503"/>
      <c r="C11" s="503" t="s">
        <v>1387</v>
      </c>
      <c r="D11" s="508">
        <f>D9+D10</f>
        <v>117433352.66834202</v>
      </c>
      <c r="E11" s="505"/>
      <c r="F11" s="505"/>
      <c r="G11" s="505"/>
      <c r="H11" s="505"/>
    </row>
    <row r="12" spans="1:8" ht="30">
      <c r="A12" s="503"/>
      <c r="B12" s="503"/>
      <c r="C12" s="507" t="s">
        <v>1755</v>
      </c>
      <c r="D12" s="506">
        <v>11.74</v>
      </c>
      <c r="E12" s="505"/>
      <c r="F12" s="505"/>
      <c r="G12" s="505"/>
      <c r="H12" s="505"/>
    </row>
    <row r="13" spans="1:8" ht="15">
      <c r="A13" s="503" t="s">
        <v>1756</v>
      </c>
      <c r="B13" s="503" t="s">
        <v>1757</v>
      </c>
      <c r="C13" s="503"/>
      <c r="D13" s="503"/>
      <c r="E13" s="505"/>
      <c r="F13" s="505"/>
      <c r="G13" s="505"/>
      <c r="H13" s="505"/>
    </row>
    <row r="14" spans="1:8" ht="15">
      <c r="A14" s="509" t="s">
        <v>1754</v>
      </c>
      <c r="B14" s="503" t="s">
        <v>1758</v>
      </c>
      <c r="C14" s="503"/>
      <c r="D14" s="503"/>
      <c r="E14" s="505"/>
      <c r="F14" s="505"/>
      <c r="G14" s="505"/>
      <c r="H14" s="505"/>
    </row>
    <row r="15" spans="1:8" ht="30">
      <c r="A15" s="507" t="s">
        <v>1759</v>
      </c>
      <c r="B15" s="503" t="s">
        <v>1760</v>
      </c>
      <c r="C15" s="503"/>
      <c r="D15" s="506">
        <v>0.029</v>
      </c>
      <c r="E15" s="505"/>
      <c r="F15" s="505"/>
      <c r="G15" s="505"/>
      <c r="H15" s="505"/>
    </row>
    <row r="16" spans="1:8" ht="45">
      <c r="A16" s="503"/>
      <c r="B16" s="503"/>
      <c r="C16" s="507" t="s">
        <v>1761</v>
      </c>
      <c r="D16" s="506">
        <f>D12+D15</f>
        <v>11.769</v>
      </c>
      <c r="E16" s="505"/>
      <c r="F16" s="505"/>
      <c r="G16" s="505"/>
      <c r="H16" s="505"/>
    </row>
    <row r="17" spans="1:8" ht="15">
      <c r="A17" s="505"/>
      <c r="B17" s="505"/>
      <c r="C17" s="505"/>
      <c r="D17" s="505"/>
      <c r="E17" s="505"/>
      <c r="F17" s="505"/>
      <c r="G17" s="505"/>
      <c r="H17" s="505"/>
    </row>
    <row r="18" spans="1:8" ht="15">
      <c r="A18" s="505"/>
      <c r="B18" s="505"/>
      <c r="C18" s="505"/>
      <c r="D18" s="505"/>
      <c r="E18" s="505"/>
      <c r="F18" s="505"/>
      <c r="G18" s="505"/>
      <c r="H18" s="505"/>
    </row>
    <row r="19" spans="1:8" ht="15">
      <c r="A19" s="505"/>
      <c r="B19" s="505"/>
      <c r="C19" s="505"/>
      <c r="D19" s="505"/>
      <c r="E19" s="505"/>
      <c r="F19" s="505"/>
      <c r="G19" s="505"/>
      <c r="H19" s="505"/>
    </row>
    <row r="20" spans="1:8" ht="15">
      <c r="A20" s="505"/>
      <c r="B20" s="505"/>
      <c r="C20" s="505"/>
      <c r="D20" s="505"/>
      <c r="E20" s="505"/>
      <c r="F20" s="505"/>
      <c r="G20" s="505"/>
      <c r="H20" s="505"/>
    </row>
    <row r="21" spans="1:8" ht="15">
      <c r="A21" s="505"/>
      <c r="B21" s="505"/>
      <c r="C21" s="505"/>
      <c r="D21" s="505"/>
      <c r="E21" s="505"/>
      <c r="F21" s="505"/>
      <c r="G21" s="505"/>
      <c r="H21" s="505"/>
    </row>
    <row r="22" spans="1:8" ht="15">
      <c r="A22" s="505"/>
      <c r="B22" s="505"/>
      <c r="C22" s="505"/>
      <c r="D22" s="505"/>
      <c r="E22" s="505"/>
      <c r="F22" s="505"/>
      <c r="G22" s="505"/>
      <c r="H22" s="505"/>
    </row>
    <row r="23" spans="1:8" ht="15">
      <c r="A23" s="505"/>
      <c r="B23" s="505"/>
      <c r="C23" s="505"/>
      <c r="D23" s="505"/>
      <c r="E23" s="505"/>
      <c r="F23" s="505"/>
      <c r="G23" s="505"/>
      <c r="H23" s="505"/>
    </row>
    <row r="24" spans="1:8" ht="15">
      <c r="A24" s="505"/>
      <c r="B24" s="505"/>
      <c r="C24" s="505"/>
      <c r="D24" s="505"/>
      <c r="E24" s="505"/>
      <c r="F24" s="505"/>
      <c r="G24" s="505"/>
      <c r="H24" s="505"/>
    </row>
    <row r="25" spans="1:8" ht="15">
      <c r="A25" s="505"/>
      <c r="B25" s="505"/>
      <c r="C25" s="505"/>
      <c r="D25" s="505"/>
      <c r="E25" s="505"/>
      <c r="F25" s="505"/>
      <c r="G25" s="505"/>
      <c r="H25" s="505"/>
    </row>
    <row r="26" spans="1:8" ht="15">
      <c r="A26" s="505"/>
      <c r="B26" s="505"/>
      <c r="C26" s="505"/>
      <c r="D26" s="505"/>
      <c r="E26" s="505"/>
      <c r="F26" s="505"/>
      <c r="G26" s="505"/>
      <c r="H26" s="505"/>
    </row>
  </sheetData>
  <sheetProtection/>
  <mergeCells count="1">
    <mergeCell ref="A1:D1"/>
  </mergeCells>
  <hyperlinks>
    <hyperlink ref="C10" r:id="rId1" display="GST@18%"/>
    <hyperlink ref="A14" r:id="rId2" display="GST@18%"/>
  </hyperlinks>
  <printOptions horizontalCentered="1" verticalCentered="1"/>
  <pageMargins left="0.7" right="0.7" top="0.75" bottom="0.75" header="0.3" footer="0.3"/>
  <pageSetup horizontalDpi="600" verticalDpi="600" orientation="portrait" r:id="rId3"/>
</worksheet>
</file>

<file path=xl/worksheets/sheet34.xml><?xml version="1.0" encoding="utf-8"?>
<worksheet xmlns="http://schemas.openxmlformats.org/spreadsheetml/2006/main" xmlns:r="http://schemas.openxmlformats.org/officeDocument/2006/relationships">
  <dimension ref="A1:S111"/>
  <sheetViews>
    <sheetView view="pageBreakPreview" zoomScaleSheetLayoutView="100" zoomScalePageLayoutView="0" workbookViewId="0" topLeftCell="A25">
      <selection activeCell="I32" sqref="I32"/>
    </sheetView>
  </sheetViews>
  <sheetFormatPr defaultColWidth="9.33203125" defaultRowHeight="12.75"/>
  <cols>
    <col min="1" max="1" width="13.5" style="90" customWidth="1"/>
    <col min="2" max="2" width="21.33203125" style="90" customWidth="1"/>
    <col min="3" max="3" width="13.83203125" style="90" customWidth="1"/>
    <col min="4" max="4" width="10.33203125" style="90" customWidth="1"/>
    <col min="5" max="5" width="10.16015625" style="90" hidden="1" customWidth="1"/>
    <col min="6" max="6" width="10.33203125" style="90" hidden="1" customWidth="1"/>
    <col min="7" max="7" width="10.66015625" style="90" customWidth="1"/>
    <col min="8" max="8" width="12.33203125" style="90" customWidth="1"/>
    <col min="9" max="10" width="12.5" style="90" customWidth="1"/>
    <col min="11" max="11" width="31.16015625" style="90" customWidth="1"/>
    <col min="12" max="12" width="14" style="90" bestFit="1" customWidth="1"/>
    <col min="13" max="13" width="16.33203125" style="90" customWidth="1"/>
    <col min="14" max="16384" width="9.33203125" style="90" customWidth="1"/>
  </cols>
  <sheetData>
    <row r="1" spans="1:11" ht="12.75">
      <c r="A1" s="452"/>
      <c r="B1" s="452"/>
      <c r="C1" s="452"/>
      <c r="D1" s="452"/>
      <c r="E1" s="453"/>
      <c r="F1" s="453"/>
      <c r="G1" s="453"/>
      <c r="H1" s="453"/>
      <c r="I1" s="453"/>
      <c r="J1" s="453"/>
      <c r="K1" s="454"/>
    </row>
    <row r="2" spans="1:11" ht="12.75">
      <c r="A2" s="1351" t="s">
        <v>1369</v>
      </c>
      <c r="B2" s="1351"/>
      <c r="C2" s="1351"/>
      <c r="D2" s="1351"/>
      <c r="E2" s="1351"/>
      <c r="F2" s="1351"/>
      <c r="G2" s="1351"/>
      <c r="H2" s="1351"/>
      <c r="I2" s="1351"/>
      <c r="J2" s="1351"/>
      <c r="K2" s="1351"/>
    </row>
    <row r="3" spans="1:11" ht="12.75">
      <c r="A3" s="1351" t="s">
        <v>1368</v>
      </c>
      <c r="B3" s="1351"/>
      <c r="C3" s="1351"/>
      <c r="D3" s="1351"/>
      <c r="E3" s="1351"/>
      <c r="F3" s="1351"/>
      <c r="G3" s="1351"/>
      <c r="H3" s="1351"/>
      <c r="I3" s="1351"/>
      <c r="J3" s="1351"/>
      <c r="K3" s="1351"/>
    </row>
    <row r="4" spans="1:11" ht="39.75" customHeight="1">
      <c r="A4" s="1352" t="s">
        <v>1734</v>
      </c>
      <c r="B4" s="1352"/>
      <c r="C4" s="1352"/>
      <c r="D4" s="1352"/>
      <c r="E4" s="1352"/>
      <c r="F4" s="1352"/>
      <c r="G4" s="1352"/>
      <c r="H4" s="1352"/>
      <c r="I4" s="1352"/>
      <c r="J4" s="1352"/>
      <c r="K4" s="1352"/>
    </row>
    <row r="5" spans="1:19" ht="12.75">
      <c r="A5" s="455" t="s">
        <v>1367</v>
      </c>
      <c r="B5" s="455"/>
      <c r="C5" s="455"/>
      <c r="D5" s="453"/>
      <c r="E5" s="456">
        <f>+E6/365*12</f>
        <v>12.032876712328768</v>
      </c>
      <c r="F5" s="456">
        <v>12</v>
      </c>
      <c r="G5" s="457">
        <v>12</v>
      </c>
      <c r="H5" s="457">
        <v>12</v>
      </c>
      <c r="I5" s="457">
        <v>12</v>
      </c>
      <c r="J5" s="457">
        <v>12</v>
      </c>
      <c r="K5" s="458"/>
      <c r="M5" s="209"/>
      <c r="N5" s="327"/>
      <c r="O5" s="327"/>
      <c r="P5" s="327"/>
      <c r="Q5" s="327"/>
      <c r="R5" s="327"/>
      <c r="S5" s="209"/>
    </row>
    <row r="6" spans="1:19" ht="13.5" thickBot="1">
      <c r="A6" s="1353" t="s">
        <v>1366</v>
      </c>
      <c r="B6" s="1354"/>
      <c r="C6" s="459"/>
      <c r="D6" s="453"/>
      <c r="E6" s="460">
        <v>366</v>
      </c>
      <c r="F6" s="460">
        <v>365</v>
      </c>
      <c r="G6" s="461">
        <v>365</v>
      </c>
      <c r="H6" s="461">
        <v>366</v>
      </c>
      <c r="I6" s="461">
        <v>365</v>
      </c>
      <c r="J6" s="461">
        <v>365</v>
      </c>
      <c r="K6" s="455"/>
      <c r="M6" s="209"/>
      <c r="N6" s="235"/>
      <c r="O6" s="235"/>
      <c r="P6" s="235"/>
      <c r="Q6" s="235"/>
      <c r="R6" s="235"/>
      <c r="S6" s="209"/>
    </row>
    <row r="7" spans="1:19" ht="12.75">
      <c r="A7" s="1355" t="s">
        <v>1365</v>
      </c>
      <c r="B7" s="1356"/>
      <c r="C7" s="462"/>
      <c r="D7" s="453"/>
      <c r="E7" s="463" t="s">
        <v>1306</v>
      </c>
      <c r="F7" s="463" t="s">
        <v>1305</v>
      </c>
      <c r="G7" s="464" t="s">
        <v>1363</v>
      </c>
      <c r="H7" s="464" t="s">
        <v>1362</v>
      </c>
      <c r="I7" s="464" t="s">
        <v>1361</v>
      </c>
      <c r="J7" s="464" t="s">
        <v>1360</v>
      </c>
      <c r="K7" s="455"/>
      <c r="M7" s="209"/>
      <c r="N7" s="323"/>
      <c r="O7" s="323"/>
      <c r="P7" s="323"/>
      <c r="Q7" s="323"/>
      <c r="R7" s="323"/>
      <c r="S7" s="209"/>
    </row>
    <row r="8" spans="1:19" ht="12.75">
      <c r="A8" s="455" t="s">
        <v>1355</v>
      </c>
      <c r="B8" s="455"/>
      <c r="C8" s="455"/>
      <c r="D8" s="453"/>
      <c r="E8" s="460"/>
      <c r="F8" s="460"/>
      <c r="G8" s="461"/>
      <c r="H8" s="461"/>
      <c r="I8" s="461"/>
      <c r="J8" s="461"/>
      <c r="K8" s="455"/>
      <c r="M8" s="209"/>
      <c r="N8" s="235"/>
      <c r="O8" s="235"/>
      <c r="P8" s="235"/>
      <c r="Q8" s="235"/>
      <c r="R8" s="235"/>
      <c r="S8" s="209"/>
    </row>
    <row r="9" spans="1:19" ht="12.75">
      <c r="A9" s="455" t="s">
        <v>1354</v>
      </c>
      <c r="B9" s="455"/>
      <c r="C9" s="455" t="s">
        <v>1353</v>
      </c>
      <c r="D9" s="453"/>
      <c r="E9" s="460">
        <v>32.5</v>
      </c>
      <c r="F9" s="460">
        <v>32.5</v>
      </c>
      <c r="G9" s="461">
        <v>32.5</v>
      </c>
      <c r="H9" s="461">
        <v>32.5</v>
      </c>
      <c r="I9" s="461">
        <v>32.5</v>
      </c>
      <c r="J9" s="461">
        <v>32.5</v>
      </c>
      <c r="K9" s="455"/>
      <c r="L9" s="90">
        <f>+I9*I6*24*I11/100</f>
        <v>241995</v>
      </c>
      <c r="M9" s="209"/>
      <c r="N9" s="257"/>
      <c r="O9" s="257"/>
      <c r="P9" s="257"/>
      <c r="Q9" s="257"/>
      <c r="R9" s="257"/>
      <c r="S9" s="304"/>
    </row>
    <row r="10" spans="1:19" ht="12.75">
      <c r="A10" s="455" t="s">
        <v>1352</v>
      </c>
      <c r="B10" s="455"/>
      <c r="C10" s="455" t="s">
        <v>1349</v>
      </c>
      <c r="D10" s="453"/>
      <c r="E10" s="465">
        <f>+E9*E6*24/1000*E11/100</f>
        <v>242.65800000000002</v>
      </c>
      <c r="F10" s="465">
        <f>'[1]2G'!I33</f>
        <v>230.76</v>
      </c>
      <c r="G10" s="466">
        <v>102.13742</v>
      </c>
      <c r="H10" s="466">
        <v>242.66</v>
      </c>
      <c r="I10" s="466">
        <v>242.66</v>
      </c>
      <c r="J10" s="466">
        <v>223</v>
      </c>
      <c r="K10" s="455"/>
      <c r="M10" s="209"/>
      <c r="N10" s="317"/>
      <c r="O10" s="317"/>
      <c r="P10" s="317"/>
      <c r="Q10" s="317"/>
      <c r="R10" s="317"/>
      <c r="S10" s="304"/>
    </row>
    <row r="11" spans="1:19" ht="25.5">
      <c r="A11" s="455" t="s">
        <v>1219</v>
      </c>
      <c r="B11" s="455"/>
      <c r="C11" s="455" t="s">
        <v>1284</v>
      </c>
      <c r="D11" s="453"/>
      <c r="E11" s="460">
        <v>85</v>
      </c>
      <c r="F11" s="460">
        <v>85</v>
      </c>
      <c r="G11" s="461">
        <v>85</v>
      </c>
      <c r="H11" s="461">
        <v>85</v>
      </c>
      <c r="I11" s="461">
        <v>85</v>
      </c>
      <c r="J11" s="461">
        <v>85</v>
      </c>
      <c r="K11" s="467" t="s">
        <v>1735</v>
      </c>
      <c r="M11" s="209"/>
      <c r="N11" s="257"/>
      <c r="O11" s="257"/>
      <c r="P11" s="257"/>
      <c r="Q11" s="257"/>
      <c r="R11" s="257"/>
      <c r="S11" s="304"/>
    </row>
    <row r="12" spans="1:19" ht="51" customHeight="1">
      <c r="A12" s="455" t="s">
        <v>1351</v>
      </c>
      <c r="B12" s="455"/>
      <c r="C12" s="455" t="s">
        <v>1284</v>
      </c>
      <c r="D12" s="453"/>
      <c r="E12" s="468">
        <v>5.5</v>
      </c>
      <c r="F12" s="468">
        <v>5.5</v>
      </c>
      <c r="G12" s="469">
        <v>5</v>
      </c>
      <c r="H12" s="469">
        <v>5</v>
      </c>
      <c r="I12" s="469">
        <v>6</v>
      </c>
      <c r="J12" s="469">
        <v>6</v>
      </c>
      <c r="K12" s="467" t="s">
        <v>1736</v>
      </c>
      <c r="M12" s="209"/>
      <c r="N12" s="252"/>
      <c r="O12" s="252"/>
      <c r="P12" s="252"/>
      <c r="Q12" s="252"/>
      <c r="R12" s="252"/>
      <c r="S12" s="304"/>
    </row>
    <row r="13" spans="1:19" ht="12.75">
      <c r="A13" s="455" t="s">
        <v>1350</v>
      </c>
      <c r="B13" s="455"/>
      <c r="C13" s="455" t="s">
        <v>1349</v>
      </c>
      <c r="D13" s="453"/>
      <c r="E13" s="470">
        <f>+E10*(1-E12/100)</f>
        <v>229.31181</v>
      </c>
      <c r="F13" s="470">
        <f>+F10*(1-F12/100)</f>
        <v>218.0682</v>
      </c>
      <c r="G13" s="471">
        <v>95.3464</v>
      </c>
      <c r="H13" s="471">
        <v>228.10039999999998</v>
      </c>
      <c r="I13" s="471">
        <f>+I10*(1-I12/100)</f>
        <v>228.10039999999998</v>
      </c>
      <c r="J13" s="471">
        <f>+J10*(1-J12/100)</f>
        <v>209.61999999999998</v>
      </c>
      <c r="K13" s="455"/>
      <c r="M13" s="209"/>
      <c r="N13" s="317"/>
      <c r="O13" s="317"/>
      <c r="P13" s="317"/>
      <c r="Q13" s="317"/>
      <c r="R13" s="317"/>
      <c r="S13" s="304"/>
    </row>
    <row r="14" spans="1:19" ht="12.75">
      <c r="A14" s="455" t="s">
        <v>1348</v>
      </c>
      <c r="B14" s="455"/>
      <c r="C14" s="455" t="s">
        <v>1347</v>
      </c>
      <c r="D14" s="453"/>
      <c r="E14" s="470">
        <f>+E17/E16</f>
        <v>0.24091257684107398</v>
      </c>
      <c r="F14" s="470">
        <f>+F17/F16</f>
        <v>0.2470576789627387</v>
      </c>
      <c r="G14" s="471">
        <v>0.2615706111467353</v>
      </c>
      <c r="H14" s="471">
        <v>0.2613761861203911</v>
      </c>
      <c r="I14" s="471">
        <f>+I17/I16</f>
        <v>0.2613761861203911</v>
      </c>
      <c r="J14" s="471" t="e">
        <f>+J17/J16</f>
        <v>#DIV/0!</v>
      </c>
      <c r="K14" s="455" t="s">
        <v>1346</v>
      </c>
      <c r="M14" s="209"/>
      <c r="N14" s="314"/>
      <c r="O14" s="314"/>
      <c r="P14" s="314"/>
      <c r="Q14" s="314"/>
      <c r="R14" s="314"/>
      <c r="S14" s="304"/>
    </row>
    <row r="15" spans="1:19" ht="12.75">
      <c r="A15" s="455" t="s">
        <v>1345</v>
      </c>
      <c r="B15" s="455"/>
      <c r="C15" s="455" t="s">
        <v>1344</v>
      </c>
      <c r="D15" s="453"/>
      <c r="E15" s="472">
        <v>8516.55</v>
      </c>
      <c r="F15" s="472">
        <f>'[1]HR 12-13 (2)'!B50</f>
        <v>9664.69292810229</v>
      </c>
      <c r="G15" s="331">
        <v>10652.4</v>
      </c>
      <c r="H15" s="331">
        <v>10376.172602985273</v>
      </c>
      <c r="I15" s="473">
        <f>'[1]Fuel cost (2)'!G28</f>
        <v>8919.547624619458</v>
      </c>
      <c r="J15" s="473"/>
      <c r="K15" s="1357" t="s">
        <v>1737</v>
      </c>
      <c r="L15" s="474" t="s">
        <v>1738</v>
      </c>
      <c r="M15" s="209"/>
      <c r="N15" s="252"/>
      <c r="O15" s="252"/>
      <c r="P15" s="252"/>
      <c r="Q15" s="252"/>
      <c r="R15" s="252"/>
      <c r="S15" s="304"/>
    </row>
    <row r="16" spans="1:19" ht="12.75">
      <c r="A16" s="455" t="s">
        <v>1342</v>
      </c>
      <c r="B16" s="455"/>
      <c r="C16" s="455" t="s">
        <v>1341</v>
      </c>
      <c r="D16" s="453"/>
      <c r="E16" s="468">
        <v>9962.12</v>
      </c>
      <c r="F16" s="468">
        <f>'[1]HR 12-13 (2)'!K44</f>
        <v>10017.903553498858</v>
      </c>
      <c r="G16" s="469">
        <v>10115.81533720412</v>
      </c>
      <c r="H16" s="469">
        <v>10123.34</v>
      </c>
      <c r="I16" s="469">
        <v>10123.34</v>
      </c>
      <c r="J16" s="475"/>
      <c r="K16" s="1358"/>
      <c r="M16" s="209"/>
      <c r="N16" s="252"/>
      <c r="O16" s="252"/>
      <c r="P16" s="252"/>
      <c r="Q16" s="252"/>
      <c r="R16" s="252"/>
      <c r="S16" s="304"/>
    </row>
    <row r="17" spans="1:19" ht="25.5">
      <c r="A17" s="455" t="s">
        <v>1340</v>
      </c>
      <c r="B17" s="455"/>
      <c r="C17" s="455" t="s">
        <v>1339</v>
      </c>
      <c r="D17" s="453"/>
      <c r="E17" s="472">
        <v>2400</v>
      </c>
      <c r="F17" s="472">
        <v>2475</v>
      </c>
      <c r="G17" s="331">
        <v>2646</v>
      </c>
      <c r="H17" s="331">
        <v>2646</v>
      </c>
      <c r="I17" s="331">
        <v>2646</v>
      </c>
      <c r="J17" s="331">
        <v>2646</v>
      </c>
      <c r="K17" s="467" t="s">
        <v>1735</v>
      </c>
      <c r="M17" s="209"/>
      <c r="N17" s="252"/>
      <c r="O17" s="252"/>
      <c r="P17" s="252"/>
      <c r="Q17" s="252"/>
      <c r="R17" s="252"/>
      <c r="S17" s="304"/>
    </row>
    <row r="18" spans="1:19" ht="12.75">
      <c r="A18" s="455"/>
      <c r="B18" s="455"/>
      <c r="C18" s="455"/>
      <c r="D18" s="453"/>
      <c r="E18" s="460"/>
      <c r="F18" s="460"/>
      <c r="G18" s="461"/>
      <c r="H18" s="461"/>
      <c r="I18" s="461"/>
      <c r="J18" s="461"/>
      <c r="K18" s="455"/>
      <c r="M18" s="209"/>
      <c r="N18" s="252"/>
      <c r="O18" s="252"/>
      <c r="P18" s="252"/>
      <c r="Q18" s="257"/>
      <c r="R18" s="257"/>
      <c r="S18" s="304"/>
    </row>
    <row r="19" spans="1:19" ht="25.5">
      <c r="A19" s="455" t="s">
        <v>1739</v>
      </c>
      <c r="B19" s="455"/>
      <c r="C19" s="455" t="s">
        <v>1300</v>
      </c>
      <c r="D19" s="453"/>
      <c r="E19" s="468">
        <v>146.45</v>
      </c>
      <c r="F19" s="468">
        <f>+F60</f>
        <v>146.45</v>
      </c>
      <c r="G19" s="469">
        <v>148.10999999999999</v>
      </c>
      <c r="H19" s="469">
        <v>150.09</v>
      </c>
      <c r="I19" s="469">
        <v>150.63</v>
      </c>
      <c r="J19" s="469"/>
      <c r="K19" s="467" t="s">
        <v>1735</v>
      </c>
      <c r="M19" s="209"/>
      <c r="N19" s="252"/>
      <c r="O19" s="252"/>
      <c r="P19" s="252"/>
      <c r="Q19" s="252"/>
      <c r="R19" s="252"/>
      <c r="S19" s="304"/>
    </row>
    <row r="20" spans="1:19" ht="12.75">
      <c r="A20" s="455" t="s">
        <v>1335</v>
      </c>
      <c r="B20" s="455"/>
      <c r="C20" s="455" t="s">
        <v>1284</v>
      </c>
      <c r="D20" s="453"/>
      <c r="E20" s="476">
        <v>70</v>
      </c>
      <c r="F20" s="476">
        <v>70</v>
      </c>
      <c r="G20" s="477">
        <v>70</v>
      </c>
      <c r="H20" s="477">
        <v>70</v>
      </c>
      <c r="I20" s="477">
        <v>70</v>
      </c>
      <c r="J20" s="477"/>
      <c r="K20" s="455" t="s">
        <v>1740</v>
      </c>
      <c r="M20" s="209"/>
      <c r="N20" s="252"/>
      <c r="O20" s="252"/>
      <c r="P20" s="252"/>
      <c r="Q20" s="252"/>
      <c r="R20" s="252"/>
      <c r="S20" s="304"/>
    </row>
    <row r="21" spans="1:19" ht="12.75">
      <c r="A21" s="455" t="s">
        <v>1333</v>
      </c>
      <c r="B21" s="455"/>
      <c r="C21" s="455" t="s">
        <v>1284</v>
      </c>
      <c r="D21" s="453"/>
      <c r="E21" s="476">
        <v>30</v>
      </c>
      <c r="F21" s="476">
        <v>30</v>
      </c>
      <c r="G21" s="477">
        <v>30</v>
      </c>
      <c r="H21" s="477">
        <v>30</v>
      </c>
      <c r="I21" s="477">
        <v>30</v>
      </c>
      <c r="J21" s="477"/>
      <c r="K21" s="455" t="s">
        <v>1740</v>
      </c>
      <c r="M21" s="209"/>
      <c r="N21" s="252"/>
      <c r="O21" s="252"/>
      <c r="P21" s="252"/>
      <c r="Q21" s="252"/>
      <c r="R21" s="252"/>
      <c r="S21" s="304"/>
    </row>
    <row r="22" spans="1:19" ht="12.75">
      <c r="A22" s="455" t="s">
        <v>1333</v>
      </c>
      <c r="B22" s="455"/>
      <c r="C22" s="455" t="s">
        <v>1300</v>
      </c>
      <c r="D22" s="453"/>
      <c r="E22" s="468">
        <f>+E19*E21/100</f>
        <v>43.935</v>
      </c>
      <c r="F22" s="468">
        <f>+F19*F21/100</f>
        <v>43.935</v>
      </c>
      <c r="G22" s="469">
        <v>44.43299999999999</v>
      </c>
      <c r="H22" s="469">
        <v>45.027</v>
      </c>
      <c r="I22" s="469">
        <f>+I19*I21/100</f>
        <v>45.18899999999999</v>
      </c>
      <c r="J22" s="469"/>
      <c r="K22" s="455"/>
      <c r="M22" s="209"/>
      <c r="N22" s="252"/>
      <c r="O22" s="252"/>
      <c r="P22" s="252"/>
      <c r="Q22" s="252"/>
      <c r="R22" s="252"/>
      <c r="S22" s="304"/>
    </row>
    <row r="23" spans="1:19" ht="12.75">
      <c r="A23" s="455" t="s">
        <v>1332</v>
      </c>
      <c r="B23" s="455"/>
      <c r="C23" s="455" t="s">
        <v>1300</v>
      </c>
      <c r="D23" s="453"/>
      <c r="E23" s="468">
        <f>+E19-E22</f>
        <v>102.51499999999999</v>
      </c>
      <c r="F23" s="468">
        <f>+F19-F22</f>
        <v>102.51499999999999</v>
      </c>
      <c r="G23" s="469">
        <v>103.67699999999999</v>
      </c>
      <c r="H23" s="469">
        <v>105.063</v>
      </c>
      <c r="I23" s="469">
        <f>+I19-I22</f>
        <v>105.441</v>
      </c>
      <c r="J23" s="469"/>
      <c r="K23" s="455"/>
      <c r="M23" s="209"/>
      <c r="N23" s="252"/>
      <c r="O23" s="252"/>
      <c r="P23" s="252"/>
      <c r="Q23" s="252"/>
      <c r="R23" s="252"/>
      <c r="S23" s="304"/>
    </row>
    <row r="24" spans="1:19" ht="12.75">
      <c r="A24" s="455" t="s">
        <v>1331</v>
      </c>
      <c r="B24" s="455"/>
      <c r="C24" s="455" t="s">
        <v>1300</v>
      </c>
      <c r="D24" s="453"/>
      <c r="E24" s="468"/>
      <c r="F24" s="468"/>
      <c r="G24" s="469"/>
      <c r="H24" s="469"/>
      <c r="I24" s="469"/>
      <c r="J24" s="469"/>
      <c r="K24" s="455"/>
      <c r="M24" s="209"/>
      <c r="N24" s="252"/>
      <c r="O24" s="252"/>
      <c r="P24" s="252"/>
      <c r="Q24" s="252"/>
      <c r="R24" s="252"/>
      <c r="S24" s="304"/>
    </row>
    <row r="25" spans="1:19" ht="12.75">
      <c r="A25" s="455" t="s">
        <v>1330</v>
      </c>
      <c r="B25" s="455"/>
      <c r="C25" s="455" t="s">
        <v>1284</v>
      </c>
      <c r="D25" s="453"/>
      <c r="E25" s="468">
        <v>5.03</v>
      </c>
      <c r="F25" s="468">
        <f>+'[3]7G'!P49</f>
        <v>5.053750700662716</v>
      </c>
      <c r="G25" s="469">
        <v>5.059</v>
      </c>
      <c r="H25" s="469">
        <v>5.06</v>
      </c>
      <c r="I25" s="469">
        <v>5.06</v>
      </c>
      <c r="J25" s="469"/>
      <c r="K25" s="467"/>
      <c r="L25" s="90">
        <f>6.98/146.45</f>
        <v>0.04766131785592353</v>
      </c>
      <c r="M25" s="209"/>
      <c r="N25" s="304"/>
      <c r="O25" s="252"/>
      <c r="P25" s="252"/>
      <c r="Q25" s="252"/>
      <c r="R25" s="252"/>
      <c r="S25" s="252"/>
    </row>
    <row r="26" spans="1:19" ht="12.75">
      <c r="A26" s="455" t="s">
        <v>1329</v>
      </c>
      <c r="B26" s="455"/>
      <c r="C26" s="455" t="s">
        <v>1284</v>
      </c>
      <c r="D26" s="453"/>
      <c r="E26" s="478">
        <v>0.1125</v>
      </c>
      <c r="F26" s="478">
        <v>0.1315</v>
      </c>
      <c r="G26" s="479">
        <v>0.1336</v>
      </c>
      <c r="H26" s="479">
        <v>0.1336</v>
      </c>
      <c r="I26" s="479">
        <v>0.1336</v>
      </c>
      <c r="J26" s="479"/>
      <c r="K26" s="467"/>
      <c r="M26" s="209"/>
      <c r="N26" s="304"/>
      <c r="O26" s="259"/>
      <c r="P26" s="259"/>
      <c r="Q26" s="259"/>
      <c r="R26" s="259"/>
      <c r="S26" s="259"/>
    </row>
    <row r="27" spans="1:19" ht="12.75">
      <c r="A27" s="455" t="s">
        <v>1321</v>
      </c>
      <c r="B27" s="455"/>
      <c r="C27" s="455" t="s">
        <v>1284</v>
      </c>
      <c r="D27" s="453"/>
      <c r="E27" s="470">
        <v>23.481</v>
      </c>
      <c r="F27" s="470">
        <v>23.481</v>
      </c>
      <c r="G27" s="471">
        <v>23.481</v>
      </c>
      <c r="H27" s="471">
        <v>23.481</v>
      </c>
      <c r="I27" s="471">
        <v>23.481</v>
      </c>
      <c r="J27" s="471"/>
      <c r="K27" s="467"/>
      <c r="M27" s="209"/>
      <c r="N27" s="209"/>
      <c r="O27" s="240"/>
      <c r="P27" s="240"/>
      <c r="Q27" s="240"/>
      <c r="R27" s="240"/>
      <c r="S27" s="240"/>
    </row>
    <row r="28" spans="1:19" ht="12.75">
      <c r="A28" s="455" t="s">
        <v>1328</v>
      </c>
      <c r="B28" s="455"/>
      <c r="C28" s="455" t="s">
        <v>1284</v>
      </c>
      <c r="D28" s="453"/>
      <c r="E28" s="468">
        <v>12.25</v>
      </c>
      <c r="F28" s="468">
        <v>14.75</v>
      </c>
      <c r="G28" s="469">
        <v>13.5</v>
      </c>
      <c r="H28" s="469">
        <v>13.5</v>
      </c>
      <c r="I28" s="469">
        <v>13.5</v>
      </c>
      <c r="J28" s="469"/>
      <c r="K28" s="467" t="s">
        <v>1741</v>
      </c>
      <c r="M28" s="209"/>
      <c r="N28" s="209"/>
      <c r="O28" s="240"/>
      <c r="P28" s="240"/>
      <c r="Q28" s="240"/>
      <c r="R28" s="240"/>
      <c r="S28" s="240"/>
    </row>
    <row r="29" spans="1:19" ht="12.75">
      <c r="A29" s="455"/>
      <c r="B29" s="455"/>
      <c r="C29" s="455"/>
      <c r="D29" s="453"/>
      <c r="E29" s="460"/>
      <c r="F29" s="460"/>
      <c r="G29" s="461"/>
      <c r="H29" s="461"/>
      <c r="I29" s="461"/>
      <c r="J29" s="461"/>
      <c r="K29" s="467"/>
      <c r="M29" s="209"/>
      <c r="N29" s="209"/>
      <c r="O29" s="235"/>
      <c r="P29" s="235"/>
      <c r="Q29" s="235"/>
      <c r="R29" s="235"/>
      <c r="S29" s="235"/>
    </row>
    <row r="30" spans="1:19" ht="12.75">
      <c r="A30" s="480" t="s">
        <v>1326</v>
      </c>
      <c r="B30" s="455"/>
      <c r="C30" s="455"/>
      <c r="D30" s="453"/>
      <c r="E30" s="460"/>
      <c r="F30" s="460"/>
      <c r="G30" s="461"/>
      <c r="H30" s="461"/>
      <c r="I30" s="461"/>
      <c r="J30" s="461"/>
      <c r="K30" s="467"/>
      <c r="M30" s="209"/>
      <c r="N30" s="209"/>
      <c r="O30" s="235"/>
      <c r="P30" s="235"/>
      <c r="Q30" s="235"/>
      <c r="R30" s="235"/>
      <c r="S30" s="235"/>
    </row>
    <row r="31" spans="1:19" ht="12.75">
      <c r="A31" s="455"/>
      <c r="B31" s="455"/>
      <c r="C31" s="455"/>
      <c r="D31" s="453"/>
      <c r="E31" s="460"/>
      <c r="F31" s="460"/>
      <c r="G31" s="461"/>
      <c r="H31" s="461"/>
      <c r="I31" s="461"/>
      <c r="J31" s="461"/>
      <c r="K31" s="467"/>
      <c r="M31" s="209"/>
      <c r="N31" s="209"/>
      <c r="O31" s="235">
        <f>+((E14*E15*241.995)/10000)*$B45/E5</f>
        <v>4.1262933434267035</v>
      </c>
      <c r="P31" s="235"/>
      <c r="Q31" s="235"/>
      <c r="R31" s="235"/>
      <c r="S31" s="235"/>
    </row>
    <row r="32" spans="1:19" ht="12.75">
      <c r="A32" s="455" t="s">
        <v>1325</v>
      </c>
      <c r="B32" s="455"/>
      <c r="C32" s="455" t="s">
        <v>1324</v>
      </c>
      <c r="D32" s="453"/>
      <c r="E32" s="481">
        <f>ROUND((E14*E15)/(1-E12/100)/10,2)</f>
        <v>217.12</v>
      </c>
      <c r="F32" s="481">
        <f>ROUND((F14*F15)/(1-F12/100)/10,2)</f>
        <v>252.67</v>
      </c>
      <c r="G32" s="464">
        <v>293.3</v>
      </c>
      <c r="H32" s="464">
        <v>288.52</v>
      </c>
      <c r="I32" s="464">
        <f>ROUND((I14*I15)/(1-I12/100)/10,2)</f>
        <v>248.02</v>
      </c>
      <c r="J32" s="464"/>
      <c r="K32" s="467"/>
      <c r="M32" s="257"/>
      <c r="N32" s="209"/>
      <c r="O32" s="235"/>
      <c r="P32" s="235"/>
      <c r="Q32" s="235"/>
      <c r="R32" s="235"/>
      <c r="S32" s="235"/>
    </row>
    <row r="33" spans="1:19" ht="12.75">
      <c r="A33" s="455"/>
      <c r="B33" s="455"/>
      <c r="C33" s="455"/>
      <c r="D33" s="453"/>
      <c r="E33" s="460"/>
      <c r="F33" s="460"/>
      <c r="G33" s="461"/>
      <c r="H33" s="461"/>
      <c r="I33" s="461"/>
      <c r="J33" s="461"/>
      <c r="K33" s="467"/>
      <c r="M33" s="209"/>
      <c r="N33" s="209"/>
      <c r="O33" s="235"/>
      <c r="P33" s="235"/>
      <c r="Q33" s="235"/>
      <c r="R33" s="235"/>
      <c r="S33" s="235"/>
    </row>
    <row r="34" spans="1:19" ht="12.75">
      <c r="A34" s="482" t="s">
        <v>1323</v>
      </c>
      <c r="B34" s="455"/>
      <c r="C34" s="455"/>
      <c r="D34" s="453"/>
      <c r="E34" s="460"/>
      <c r="F34" s="460"/>
      <c r="G34" s="461"/>
      <c r="H34" s="461"/>
      <c r="I34" s="461"/>
      <c r="J34" s="461"/>
      <c r="K34" s="467"/>
      <c r="M34" s="209"/>
      <c r="N34" s="209"/>
      <c r="O34" s="235"/>
      <c r="P34" s="235"/>
      <c r="Q34" s="235"/>
      <c r="R34" s="235"/>
      <c r="S34" s="235"/>
    </row>
    <row r="35" spans="1:19" ht="12.75">
      <c r="A35" s="483" t="s">
        <v>1283</v>
      </c>
      <c r="B35" s="455"/>
      <c r="C35" s="455" t="s">
        <v>1300</v>
      </c>
      <c r="D35" s="453"/>
      <c r="E35" s="468">
        <v>6.97</v>
      </c>
      <c r="F35" s="468">
        <v>5.02</v>
      </c>
      <c r="G35" s="469">
        <v>0.27</v>
      </c>
      <c r="H35" s="469">
        <v>0.33</v>
      </c>
      <c r="I35" s="469">
        <v>0.38</v>
      </c>
      <c r="J35" s="469"/>
      <c r="K35" s="467"/>
      <c r="M35" s="209"/>
      <c r="N35" s="209"/>
      <c r="O35" s="240"/>
      <c r="P35" s="240"/>
      <c r="Q35" s="240"/>
      <c r="R35" s="240"/>
      <c r="S35" s="240"/>
    </row>
    <row r="36" spans="1:19" ht="12.75">
      <c r="A36" s="483" t="s">
        <v>1322</v>
      </c>
      <c r="B36" s="455"/>
      <c r="C36" s="455" t="s">
        <v>1300</v>
      </c>
      <c r="D36" s="453"/>
      <c r="E36" s="468">
        <f>+E69</f>
        <v>0</v>
      </c>
      <c r="F36" s="468">
        <f>+F69</f>
        <v>0</v>
      </c>
      <c r="G36" s="469">
        <v>0</v>
      </c>
      <c r="H36" s="469">
        <v>0</v>
      </c>
      <c r="I36" s="469">
        <v>0</v>
      </c>
      <c r="J36" s="469"/>
      <c r="K36" s="467"/>
      <c r="M36" s="296"/>
      <c r="N36" s="209"/>
      <c r="O36" s="240"/>
      <c r="P36" s="240"/>
      <c r="Q36" s="240"/>
      <c r="R36" s="240"/>
      <c r="S36" s="240"/>
    </row>
    <row r="37" spans="1:19" ht="12.75">
      <c r="A37" s="483" t="s">
        <v>1321</v>
      </c>
      <c r="B37" s="455"/>
      <c r="C37" s="455" t="s">
        <v>1300</v>
      </c>
      <c r="D37" s="453"/>
      <c r="E37" s="468">
        <f>+E22*E27/100</f>
        <v>10.31637735</v>
      </c>
      <c r="F37" s="468">
        <f>+F22*F27/100</f>
        <v>10.31637735</v>
      </c>
      <c r="G37" s="469">
        <v>10.43331273</v>
      </c>
      <c r="H37" s="469">
        <v>10.572789870000001</v>
      </c>
      <c r="I37" s="469">
        <f>+I22*I27/100</f>
        <v>10.61082909</v>
      </c>
      <c r="J37" s="469"/>
      <c r="K37" s="467"/>
      <c r="M37" s="209"/>
      <c r="N37" s="209"/>
      <c r="O37" s="240"/>
      <c r="P37" s="263"/>
      <c r="Q37" s="263"/>
      <c r="R37" s="263"/>
      <c r="S37" s="263"/>
    </row>
    <row r="38" spans="1:19" ht="12.75">
      <c r="A38" s="483" t="s">
        <v>1308</v>
      </c>
      <c r="B38" s="455"/>
      <c r="C38" s="455" t="s">
        <v>1300</v>
      </c>
      <c r="D38" s="453"/>
      <c r="E38" s="468">
        <f>+E50</f>
        <v>2.4803239872617406</v>
      </c>
      <c r="F38" s="468">
        <f>+F50</f>
        <v>3.2317055269756514</v>
      </c>
      <c r="G38" s="469">
        <v>3.5202887201278776</v>
      </c>
      <c r="H38" s="469">
        <v>3.38</v>
      </c>
      <c r="I38" s="469" t="e">
        <f>+I50</f>
        <v>#REF!</v>
      </c>
      <c r="J38" s="469"/>
      <c r="K38" s="467"/>
      <c r="M38" s="252"/>
      <c r="N38" s="209"/>
      <c r="O38" s="240"/>
      <c r="P38" s="240"/>
      <c r="Q38" s="240"/>
      <c r="R38" s="240"/>
      <c r="S38" s="240"/>
    </row>
    <row r="39" spans="1:19" ht="25.5">
      <c r="A39" s="483" t="s">
        <v>1320</v>
      </c>
      <c r="B39" s="455"/>
      <c r="C39" s="455" t="s">
        <v>1300</v>
      </c>
      <c r="D39" s="453"/>
      <c r="E39" s="468">
        <f>0.2559*32.5</f>
        <v>8.31675</v>
      </c>
      <c r="F39" s="468">
        <f>0.2705*32.5</f>
        <v>8.79125</v>
      </c>
      <c r="G39" s="469">
        <v>10.864749999999999</v>
      </c>
      <c r="H39" s="469">
        <v>11.6025</v>
      </c>
      <c r="I39" s="469">
        <f>0.357*32.5*106.7/100</f>
        <v>12.3798675</v>
      </c>
      <c r="J39" s="469"/>
      <c r="K39" s="467" t="s">
        <v>1742</v>
      </c>
      <c r="M39" s="209"/>
      <c r="N39" s="209"/>
      <c r="O39" s="270"/>
      <c r="P39" s="270"/>
      <c r="Q39" s="270"/>
      <c r="R39" s="270"/>
      <c r="S39" s="270"/>
    </row>
    <row r="40" spans="1:19" ht="12.75">
      <c r="A40" s="484" t="s">
        <v>1317</v>
      </c>
      <c r="B40" s="485"/>
      <c r="C40" s="485" t="s">
        <v>1300</v>
      </c>
      <c r="D40" s="454"/>
      <c r="E40" s="486">
        <f>SUM(E35:E39)</f>
        <v>28.083451337261742</v>
      </c>
      <c r="F40" s="486">
        <f>SUM(F35:F39)</f>
        <v>27.35933287697565</v>
      </c>
      <c r="G40" s="487">
        <v>25.088351450127877</v>
      </c>
      <c r="H40" s="487">
        <v>25.88</v>
      </c>
      <c r="I40" s="487" t="e">
        <f>SUM(I35:I39)</f>
        <v>#REF!</v>
      </c>
      <c r="J40" s="487"/>
      <c r="K40" s="467"/>
      <c r="L40" s="252"/>
      <c r="M40" s="252"/>
      <c r="N40" s="209"/>
      <c r="O40" s="240"/>
      <c r="P40" s="240"/>
      <c r="Q40" s="240"/>
      <c r="R40" s="240"/>
      <c r="S40" s="240"/>
    </row>
    <row r="41" spans="1:19" ht="12.75" hidden="1">
      <c r="A41" s="483" t="s">
        <v>1316</v>
      </c>
      <c r="B41" s="455"/>
      <c r="C41" s="455" t="s">
        <v>1300</v>
      </c>
      <c r="D41" s="453"/>
      <c r="E41" s="468"/>
      <c r="F41" s="468"/>
      <c r="G41" s="469"/>
      <c r="H41" s="469"/>
      <c r="I41" s="469"/>
      <c r="J41" s="469"/>
      <c r="K41" s="467"/>
      <c r="M41" s="209"/>
      <c r="N41" s="209"/>
      <c r="O41" s="240"/>
      <c r="P41" s="240"/>
      <c r="Q41" s="240"/>
      <c r="R41" s="240"/>
      <c r="S41" s="240"/>
    </row>
    <row r="42" spans="1:19" ht="28.5" customHeight="1" hidden="1">
      <c r="A42" s="1349" t="s">
        <v>1315</v>
      </c>
      <c r="B42" s="1350"/>
      <c r="C42" s="455" t="s">
        <v>1300</v>
      </c>
      <c r="D42" s="453"/>
      <c r="E42" s="468"/>
      <c r="F42" s="468"/>
      <c r="G42" s="469"/>
      <c r="H42" s="469"/>
      <c r="I42" s="469"/>
      <c r="J42" s="469"/>
      <c r="K42" s="455"/>
      <c r="M42" s="252"/>
      <c r="N42" s="209"/>
      <c r="O42" s="240"/>
      <c r="P42" s="240"/>
      <c r="Q42" s="240"/>
      <c r="R42" s="240"/>
      <c r="S42" s="240"/>
    </row>
    <row r="43" spans="1:19" ht="12.75">
      <c r="A43" s="482"/>
      <c r="B43" s="455"/>
      <c r="C43" s="455"/>
      <c r="D43" s="453"/>
      <c r="E43" s="468"/>
      <c r="F43" s="468"/>
      <c r="G43" s="469"/>
      <c r="H43" s="469"/>
      <c r="I43" s="469"/>
      <c r="J43" s="469"/>
      <c r="K43" s="467"/>
      <c r="M43" s="209"/>
      <c r="N43" s="209"/>
      <c r="O43" s="240"/>
      <c r="P43" s="240"/>
      <c r="Q43" s="240"/>
      <c r="R43" s="240"/>
      <c r="S43" s="240"/>
    </row>
    <row r="44" spans="1:19" ht="12.75">
      <c r="A44" s="482" t="s">
        <v>1314</v>
      </c>
      <c r="B44" s="455"/>
      <c r="C44" s="455"/>
      <c r="D44" s="453"/>
      <c r="E44" s="453"/>
      <c r="F44" s="453"/>
      <c r="G44" s="488"/>
      <c r="H44" s="488"/>
      <c r="I44" s="488"/>
      <c r="J44" s="488"/>
      <c r="K44" s="467"/>
      <c r="M44" s="283"/>
      <c r="N44" s="209"/>
      <c r="O44" s="209"/>
      <c r="P44" s="209"/>
      <c r="Q44" s="209"/>
      <c r="R44" s="209"/>
      <c r="S44" s="209"/>
    </row>
    <row r="45" spans="1:19" ht="17.25" customHeight="1">
      <c r="A45" s="489" t="s">
        <v>1313</v>
      </c>
      <c r="B45" s="455">
        <v>1</v>
      </c>
      <c r="C45" s="455" t="s">
        <v>1300</v>
      </c>
      <c r="D45" s="453"/>
      <c r="E45" s="468">
        <f>+((E14*E15*241.995)/10000)*$B45/E5</f>
        <v>4.1262933434267035</v>
      </c>
      <c r="F45" s="468">
        <v>4.66</v>
      </c>
      <c r="G45" s="469">
        <v>5.91</v>
      </c>
      <c r="H45" s="469">
        <v>5.43</v>
      </c>
      <c r="I45" s="469">
        <f>((I14*I15*I10)/10000)*$B45/I5</f>
        <v>4.714393101122059</v>
      </c>
      <c r="J45" s="469"/>
      <c r="K45" s="467"/>
      <c r="L45" s="252">
        <f>+G37+G38+G39</f>
        <v>24.818351450127878</v>
      </c>
      <c r="M45" s="252"/>
      <c r="N45" s="209"/>
      <c r="O45" s="240"/>
      <c r="P45" s="240"/>
      <c r="Q45" s="240"/>
      <c r="R45" s="240"/>
      <c r="S45" s="240"/>
    </row>
    <row r="46" spans="1:19" ht="24.75" customHeight="1">
      <c r="A46" s="489" t="s">
        <v>1312</v>
      </c>
      <c r="B46" s="455">
        <v>1</v>
      </c>
      <c r="C46" s="455" t="s">
        <v>1300</v>
      </c>
      <c r="D46" s="453"/>
      <c r="E46" s="468">
        <f>+E39/12*$B46</f>
        <v>0.6930625</v>
      </c>
      <c r="F46" s="468">
        <f>+F39/12*$B46</f>
        <v>0.7326041666666666</v>
      </c>
      <c r="G46" s="469">
        <v>0.9053958333333333</v>
      </c>
      <c r="H46" s="469">
        <v>0.9668749999999999</v>
      </c>
      <c r="I46" s="469">
        <f>+I39/12*$B46</f>
        <v>1.031655625</v>
      </c>
      <c r="J46" s="469"/>
      <c r="K46" s="467"/>
      <c r="M46" s="283"/>
      <c r="N46" s="209"/>
      <c r="O46" s="240"/>
      <c r="P46" s="240"/>
      <c r="Q46" s="240"/>
      <c r="R46" s="240"/>
      <c r="S46" s="240"/>
    </row>
    <row r="47" spans="1:19" ht="12.75">
      <c r="A47" s="483" t="s">
        <v>1311</v>
      </c>
      <c r="B47" s="455"/>
      <c r="C47" s="455" t="s">
        <v>1300</v>
      </c>
      <c r="D47" s="453"/>
      <c r="E47" s="468">
        <f>+E46*30%*12</f>
        <v>2.495025</v>
      </c>
      <c r="F47" s="468">
        <f>+F46*30%*12</f>
        <v>2.6373749999999996</v>
      </c>
      <c r="G47" s="469">
        <v>3.2594249999999994</v>
      </c>
      <c r="H47" s="469">
        <v>3.4807499999999996</v>
      </c>
      <c r="I47" s="469">
        <f>+I46*30%*12</f>
        <v>3.7139602499999995</v>
      </c>
      <c r="J47" s="469"/>
      <c r="K47" s="467"/>
      <c r="M47" s="209"/>
      <c r="N47" s="209"/>
      <c r="O47" s="235"/>
      <c r="P47" s="235"/>
      <c r="Q47" s="235"/>
      <c r="R47" s="235"/>
      <c r="S47" s="235"/>
    </row>
    <row r="48" spans="1:19" ht="12.75">
      <c r="A48" s="483" t="s">
        <v>1310</v>
      </c>
      <c r="B48" s="455">
        <v>2</v>
      </c>
      <c r="C48" s="455" t="s">
        <v>1300</v>
      </c>
      <c r="D48" s="453"/>
      <c r="E48" s="468">
        <f>E40/6+E45/$B45*2</f>
        <v>12.933161909730364</v>
      </c>
      <c r="F48" s="468">
        <f>+F40/6+F45/$B45*2</f>
        <v>13.879888812829275</v>
      </c>
      <c r="G48" s="469">
        <v>16.00139190835465</v>
      </c>
      <c r="H48" s="469">
        <v>15.18</v>
      </c>
      <c r="I48" s="469" t="e">
        <f>+I40/6+I45/$B45*2</f>
        <v>#REF!</v>
      </c>
      <c r="J48" s="469"/>
      <c r="K48" s="467"/>
      <c r="M48" s="283"/>
      <c r="N48" s="209"/>
      <c r="O48" s="235"/>
      <c r="P48" s="235"/>
      <c r="Q48" s="235"/>
      <c r="R48" s="235"/>
      <c r="S48" s="235"/>
    </row>
    <row r="49" spans="1:19" ht="12.75">
      <c r="A49" s="483" t="s">
        <v>1309</v>
      </c>
      <c r="B49" s="455"/>
      <c r="C49" s="455" t="s">
        <v>1300</v>
      </c>
      <c r="D49" s="453"/>
      <c r="E49" s="468">
        <f>SUM(E45:E48)</f>
        <v>20.247542753157067</v>
      </c>
      <c r="F49" s="468">
        <f>SUM(F45:F48)</f>
        <v>21.909867979495942</v>
      </c>
      <c r="G49" s="469">
        <v>26.076212741687982</v>
      </c>
      <c r="H49" s="469">
        <v>25.06</v>
      </c>
      <c r="I49" s="469" t="e">
        <f>SUM(I45:I48)</f>
        <v>#REF!</v>
      </c>
      <c r="J49" s="469"/>
      <c r="K49" s="467"/>
      <c r="M49" s="209"/>
      <c r="N49" s="209"/>
      <c r="O49" s="240"/>
      <c r="P49" s="240"/>
      <c r="Q49" s="240"/>
      <c r="R49" s="240"/>
      <c r="S49" s="240"/>
    </row>
    <row r="50" spans="1:19" ht="12.75">
      <c r="A50" s="483" t="s">
        <v>1308</v>
      </c>
      <c r="B50" s="455"/>
      <c r="C50" s="455" t="s">
        <v>1300</v>
      </c>
      <c r="D50" s="453"/>
      <c r="E50" s="468">
        <f>+E49*E28/100</f>
        <v>2.4803239872617406</v>
      </c>
      <c r="F50" s="468">
        <f>+F49*F28/100</f>
        <v>3.2317055269756514</v>
      </c>
      <c r="G50" s="469">
        <v>3.5202887201278776</v>
      </c>
      <c r="H50" s="469">
        <v>3.38</v>
      </c>
      <c r="I50" s="469" t="e">
        <f>+I49*I28/100</f>
        <v>#REF!</v>
      </c>
      <c r="J50" s="469"/>
      <c r="K50" s="467"/>
      <c r="L50" s="281"/>
      <c r="M50" s="209"/>
      <c r="N50" s="209"/>
      <c r="O50" s="255"/>
      <c r="P50" s="255"/>
      <c r="Q50" s="263"/>
      <c r="R50" s="263"/>
      <c r="S50" s="263"/>
    </row>
    <row r="51" spans="1:19" ht="12.75">
      <c r="A51" s="482" t="str">
        <f>+A7</f>
        <v>PERIODS</v>
      </c>
      <c r="B51" s="455"/>
      <c r="C51" s="455"/>
      <c r="D51" s="453"/>
      <c r="E51" s="460"/>
      <c r="F51" s="460"/>
      <c r="G51" s="461"/>
      <c r="H51" s="461"/>
      <c r="I51" s="461"/>
      <c r="J51" s="461"/>
      <c r="K51" s="467"/>
      <c r="M51" s="209"/>
      <c r="N51" s="209"/>
      <c r="O51" s="235"/>
      <c r="P51" s="235"/>
      <c r="Q51" s="235"/>
      <c r="R51" s="235"/>
      <c r="S51" s="235"/>
    </row>
    <row r="52" spans="1:19" ht="12.75">
      <c r="A52" s="482" t="s">
        <v>1307</v>
      </c>
      <c r="B52" s="455"/>
      <c r="C52" s="455"/>
      <c r="D52" s="453"/>
      <c r="E52" s="490" t="s">
        <v>1306</v>
      </c>
      <c r="F52" s="490" t="s">
        <v>1305</v>
      </c>
      <c r="G52" s="461"/>
      <c r="H52" s="461"/>
      <c r="I52" s="461"/>
      <c r="J52" s="461"/>
      <c r="K52" s="467"/>
      <c r="L52" s="272"/>
      <c r="M52" s="271"/>
      <c r="N52" s="209"/>
      <c r="O52" s="277"/>
      <c r="P52" s="277"/>
      <c r="Q52" s="277"/>
      <c r="R52" s="277"/>
      <c r="S52" s="277"/>
    </row>
    <row r="53" spans="1:19" ht="12.75">
      <c r="A53" s="483" t="s">
        <v>1304</v>
      </c>
      <c r="B53" s="455"/>
      <c r="C53" s="455" t="s">
        <v>1300</v>
      </c>
      <c r="D53" s="453"/>
      <c r="E53" s="468">
        <v>146.45</v>
      </c>
      <c r="F53" s="468">
        <f>+E59</f>
        <v>146.45</v>
      </c>
      <c r="G53" s="469">
        <v>146.45</v>
      </c>
      <c r="H53" s="469">
        <v>149.77</v>
      </c>
      <c r="I53" s="469">
        <f>H73</f>
        <v>150.37</v>
      </c>
      <c r="J53" s="469"/>
      <c r="K53" s="467"/>
      <c r="M53" s="209"/>
      <c r="N53" s="209"/>
      <c r="O53" s="244"/>
      <c r="P53" s="244"/>
      <c r="Q53" s="244"/>
      <c r="R53" s="244"/>
      <c r="S53" s="244"/>
    </row>
    <row r="54" spans="1:19" ht="51" hidden="1">
      <c r="A54" s="491" t="s">
        <v>1303</v>
      </c>
      <c r="B54" s="455"/>
      <c r="C54" s="455" t="s">
        <v>1300</v>
      </c>
      <c r="D54" s="453"/>
      <c r="E54" s="460"/>
      <c r="F54" s="460"/>
      <c r="G54" s="461"/>
      <c r="H54" s="461"/>
      <c r="I54" s="461"/>
      <c r="J54" s="461"/>
      <c r="K54" s="467"/>
      <c r="M54" s="209"/>
      <c r="N54" s="209"/>
      <c r="O54" s="244"/>
      <c r="P54" s="244"/>
      <c r="Q54" s="244"/>
      <c r="R54" s="235"/>
      <c r="S54" s="235"/>
    </row>
    <row r="55" spans="1:19" ht="12.75" hidden="1">
      <c r="A55" s="483" t="s">
        <v>1302</v>
      </c>
      <c r="B55" s="455"/>
      <c r="C55" s="455" t="s">
        <v>1300</v>
      </c>
      <c r="D55" s="453"/>
      <c r="E55" s="468"/>
      <c r="F55" s="468"/>
      <c r="G55" s="469"/>
      <c r="H55" s="469"/>
      <c r="I55" s="469"/>
      <c r="J55" s="469"/>
      <c r="K55" s="467"/>
      <c r="M55" s="209"/>
      <c r="N55" s="209"/>
      <c r="O55" s="244"/>
      <c r="P55" s="244"/>
      <c r="Q55" s="244"/>
      <c r="R55" s="244"/>
      <c r="S55" s="244"/>
    </row>
    <row r="56" spans="1:19" ht="12.75" hidden="1">
      <c r="A56" s="483"/>
      <c r="B56" s="455"/>
      <c r="C56" s="455" t="s">
        <v>1300</v>
      </c>
      <c r="D56" s="453"/>
      <c r="E56" s="460"/>
      <c r="F56" s="460"/>
      <c r="G56" s="461"/>
      <c r="H56" s="461"/>
      <c r="I56" s="461"/>
      <c r="J56" s="461"/>
      <c r="K56" s="467"/>
      <c r="M56" s="209"/>
      <c r="N56" s="209"/>
      <c r="O56" s="244"/>
      <c r="P56" s="244"/>
      <c r="Q56" s="244"/>
      <c r="R56" s="235"/>
      <c r="S56" s="235"/>
    </row>
    <row r="57" spans="1:19" ht="63.75" hidden="1">
      <c r="A57" s="491" t="s">
        <v>1301</v>
      </c>
      <c r="B57" s="455"/>
      <c r="C57" s="455" t="s">
        <v>1300</v>
      </c>
      <c r="D57" s="453"/>
      <c r="E57" s="468"/>
      <c r="F57" s="468"/>
      <c r="G57" s="469"/>
      <c r="H57" s="469"/>
      <c r="I57" s="469"/>
      <c r="J57" s="469"/>
      <c r="K57" s="467"/>
      <c r="M57" s="209"/>
      <c r="N57" s="209"/>
      <c r="O57" s="240"/>
      <c r="P57" s="240"/>
      <c r="Q57" s="240"/>
      <c r="R57" s="240"/>
      <c r="S57" s="240"/>
    </row>
    <row r="58" spans="1:19" ht="12.75">
      <c r="A58" s="483" t="s">
        <v>1299</v>
      </c>
      <c r="B58" s="455"/>
      <c r="C58" s="455"/>
      <c r="D58" s="453"/>
      <c r="E58" s="468">
        <v>0</v>
      </c>
      <c r="F58" s="468">
        <v>0</v>
      </c>
      <c r="G58" s="469">
        <v>3.32</v>
      </c>
      <c r="H58" s="469">
        <v>0.6</v>
      </c>
      <c r="I58" s="469">
        <v>0.51</v>
      </c>
      <c r="J58" s="469"/>
      <c r="K58" s="467"/>
      <c r="L58" s="272"/>
      <c r="M58" s="271"/>
      <c r="N58" s="209"/>
      <c r="O58" s="240"/>
      <c r="P58" s="240"/>
      <c r="Q58" s="240"/>
      <c r="R58" s="240"/>
      <c r="S58" s="240"/>
    </row>
    <row r="59" spans="1:19" ht="12.75">
      <c r="A59" s="483" t="s">
        <v>1298</v>
      </c>
      <c r="B59" s="455"/>
      <c r="C59" s="455"/>
      <c r="D59" s="453"/>
      <c r="E59" s="468">
        <f>+E58+E53</f>
        <v>146.45</v>
      </c>
      <c r="F59" s="468">
        <f>+F58+F53</f>
        <v>146.45</v>
      </c>
      <c r="G59" s="469">
        <v>149.76999999999998</v>
      </c>
      <c r="H59" s="469">
        <v>150.37</v>
      </c>
      <c r="I59" s="469">
        <f>+I58+I53</f>
        <v>150.88</v>
      </c>
      <c r="J59" s="469"/>
      <c r="K59" s="467"/>
      <c r="M59" s="271"/>
      <c r="N59" s="209"/>
      <c r="O59" s="240"/>
      <c r="P59" s="240"/>
      <c r="Q59" s="240"/>
      <c r="R59" s="240"/>
      <c r="S59" s="240"/>
    </row>
    <row r="60" spans="1:19" ht="12.75">
      <c r="A60" s="483" t="s">
        <v>1297</v>
      </c>
      <c r="B60" s="455"/>
      <c r="C60" s="455"/>
      <c r="D60" s="453"/>
      <c r="E60" s="468">
        <f>+(E53+E59)/2</f>
        <v>146.45</v>
      </c>
      <c r="F60" s="468">
        <f>+(F53+F59)/2</f>
        <v>146.45</v>
      </c>
      <c r="G60" s="469">
        <v>148.10999999999999</v>
      </c>
      <c r="H60" s="469">
        <v>150.07</v>
      </c>
      <c r="I60" s="469">
        <f>+(I53+I59)/2</f>
        <v>150.625</v>
      </c>
      <c r="J60" s="469"/>
      <c r="K60" s="467"/>
      <c r="M60" s="209"/>
      <c r="N60" s="209"/>
      <c r="O60" s="270"/>
      <c r="P60" s="270"/>
      <c r="Q60" s="270"/>
      <c r="R60" s="270"/>
      <c r="S60" s="270"/>
    </row>
    <row r="61" spans="1:19" ht="12.75">
      <c r="A61" s="484" t="s">
        <v>1296</v>
      </c>
      <c r="B61" s="455"/>
      <c r="C61" s="455"/>
      <c r="D61" s="453"/>
      <c r="E61" s="460"/>
      <c r="F61" s="460"/>
      <c r="G61" s="461"/>
      <c r="H61" s="461"/>
      <c r="I61" s="461"/>
      <c r="J61" s="461"/>
      <c r="K61" s="467"/>
      <c r="M61" s="209"/>
      <c r="N61" s="209"/>
      <c r="O61" s="235"/>
      <c r="P61" s="235"/>
      <c r="Q61" s="235"/>
      <c r="R61" s="235"/>
      <c r="S61" s="235"/>
    </row>
    <row r="62" spans="1:19" ht="12.75">
      <c r="A62" s="483" t="s">
        <v>1295</v>
      </c>
      <c r="B62" s="455"/>
      <c r="C62" s="455"/>
      <c r="D62" s="453"/>
      <c r="E62" s="468">
        <f>E60*0.7</f>
        <v>102.51499999999999</v>
      </c>
      <c r="F62" s="468">
        <f>F60*0.7</f>
        <v>102.51499999999999</v>
      </c>
      <c r="G62" s="469">
        <v>103.67699999999998</v>
      </c>
      <c r="H62" s="469">
        <v>105.04899999999999</v>
      </c>
      <c r="I62" s="469">
        <f>I60*0.7</f>
        <v>105.4375</v>
      </c>
      <c r="J62" s="469"/>
      <c r="K62" s="467"/>
      <c r="L62" s="263"/>
      <c r="M62" s="209"/>
      <c r="N62" s="263"/>
      <c r="O62" s="263"/>
      <c r="P62" s="263"/>
      <c r="Q62" s="263"/>
      <c r="R62" s="263"/>
      <c r="S62" s="263"/>
    </row>
    <row r="63" spans="1:19" ht="67.5" customHeight="1">
      <c r="A63" s="1349" t="s">
        <v>1294</v>
      </c>
      <c r="B63" s="1350"/>
      <c r="C63" s="455"/>
      <c r="D63" s="453"/>
      <c r="E63" s="468">
        <f>+E62</f>
        <v>102.51499999999999</v>
      </c>
      <c r="F63" s="468">
        <f>+F62</f>
        <v>102.51499999999999</v>
      </c>
      <c r="G63" s="469">
        <v>103.67699999999998</v>
      </c>
      <c r="H63" s="469">
        <v>105.04899999999999</v>
      </c>
      <c r="I63" s="469">
        <f>+I62</f>
        <v>105.4375</v>
      </c>
      <c r="J63" s="469"/>
      <c r="K63" s="467" t="s">
        <v>1293</v>
      </c>
      <c r="L63" s="255"/>
      <c r="M63" s="255"/>
      <c r="N63" s="255"/>
      <c r="O63" s="252"/>
      <c r="P63" s="252"/>
      <c r="Q63" s="252"/>
      <c r="R63" s="255"/>
      <c r="S63" s="255"/>
    </row>
    <row r="64" spans="1:19" ht="25.5">
      <c r="A64" s="483" t="s">
        <v>1292</v>
      </c>
      <c r="B64" s="455"/>
      <c r="C64" s="455"/>
      <c r="D64" s="453"/>
      <c r="E64" s="468">
        <v>0</v>
      </c>
      <c r="F64" s="468">
        <f>+F62-F63</f>
        <v>0</v>
      </c>
      <c r="G64" s="469">
        <v>0</v>
      </c>
      <c r="H64" s="469">
        <v>0</v>
      </c>
      <c r="I64" s="469">
        <v>0</v>
      </c>
      <c r="J64" s="469"/>
      <c r="K64" s="467" t="s">
        <v>1291</v>
      </c>
      <c r="L64" s="252"/>
      <c r="M64" s="252"/>
      <c r="N64" s="252"/>
      <c r="O64" s="252"/>
      <c r="P64" s="252"/>
      <c r="Q64" s="252"/>
      <c r="R64" s="252"/>
      <c r="S64" s="252"/>
    </row>
    <row r="65" spans="1:19" ht="12.75">
      <c r="A65" s="483" t="s">
        <v>1290</v>
      </c>
      <c r="B65" s="455"/>
      <c r="C65" s="455"/>
      <c r="D65" s="453"/>
      <c r="E65" s="468"/>
      <c r="F65" s="468"/>
      <c r="G65" s="469"/>
      <c r="H65" s="469"/>
      <c r="I65" s="469"/>
      <c r="J65" s="469"/>
      <c r="K65" s="467"/>
      <c r="L65" s="252"/>
      <c r="M65" s="252"/>
      <c r="N65" s="252"/>
      <c r="O65" s="252"/>
      <c r="P65" s="252"/>
      <c r="Q65" s="252"/>
      <c r="R65" s="252"/>
      <c r="S65" s="252"/>
    </row>
    <row r="66" spans="1:19" ht="12.75">
      <c r="A66" s="483" t="s">
        <v>1289</v>
      </c>
      <c r="B66" s="455"/>
      <c r="C66" s="455"/>
      <c r="D66" s="453"/>
      <c r="E66" s="468">
        <v>0</v>
      </c>
      <c r="F66" s="468">
        <f>+F64</f>
        <v>0</v>
      </c>
      <c r="G66" s="469">
        <v>0</v>
      </c>
      <c r="H66" s="469">
        <v>0</v>
      </c>
      <c r="I66" s="469">
        <v>0</v>
      </c>
      <c r="J66" s="469"/>
      <c r="K66" s="467"/>
      <c r="L66" s="263"/>
      <c r="M66" s="263"/>
      <c r="N66" s="255"/>
      <c r="O66" s="252"/>
      <c r="P66" s="252"/>
      <c r="Q66" s="252"/>
      <c r="R66" s="255"/>
      <c r="S66" s="263"/>
    </row>
    <row r="67" spans="1:19" ht="12.75">
      <c r="A67" s="483" t="s">
        <v>1288</v>
      </c>
      <c r="B67" s="455"/>
      <c r="C67" s="455"/>
      <c r="D67" s="453"/>
      <c r="E67" s="468">
        <f>+E64-E66+E65</f>
        <v>0</v>
      </c>
      <c r="F67" s="468">
        <f>+F64-F66+F65</f>
        <v>0</v>
      </c>
      <c r="G67" s="469"/>
      <c r="H67" s="469"/>
      <c r="I67" s="469"/>
      <c r="J67" s="469"/>
      <c r="K67" s="467"/>
      <c r="L67" s="240"/>
      <c r="M67" s="240"/>
      <c r="N67" s="252"/>
      <c r="O67" s="252"/>
      <c r="P67" s="252"/>
      <c r="Q67" s="252"/>
      <c r="R67" s="252"/>
      <c r="S67" s="240"/>
    </row>
    <row r="68" spans="1:19" ht="12.75">
      <c r="A68" s="483" t="s">
        <v>1287</v>
      </c>
      <c r="B68" s="455"/>
      <c r="C68" s="455"/>
      <c r="D68" s="453"/>
      <c r="E68" s="468">
        <f>+(E64+E67)/2</f>
        <v>0</v>
      </c>
      <c r="F68" s="468">
        <f>+(F64+F67)/2</f>
        <v>0</v>
      </c>
      <c r="G68" s="469"/>
      <c r="H68" s="469"/>
      <c r="I68" s="469"/>
      <c r="J68" s="469"/>
      <c r="K68" s="467"/>
      <c r="L68" s="240"/>
      <c r="M68" s="240"/>
      <c r="N68" s="252"/>
      <c r="O68" s="252"/>
      <c r="P68" s="252"/>
      <c r="Q68" s="252"/>
      <c r="R68" s="252"/>
      <c r="S68" s="240"/>
    </row>
    <row r="69" spans="1:19" ht="12.75">
      <c r="A69" s="483" t="s">
        <v>1286</v>
      </c>
      <c r="B69" s="455"/>
      <c r="C69" s="455"/>
      <c r="D69" s="453"/>
      <c r="E69" s="468">
        <f>+E68*E26</f>
        <v>0</v>
      </c>
      <c r="F69" s="468">
        <f>+F68*F26</f>
        <v>0</v>
      </c>
      <c r="G69" s="469">
        <v>0</v>
      </c>
      <c r="H69" s="469">
        <v>0</v>
      </c>
      <c r="I69" s="469">
        <v>0</v>
      </c>
      <c r="J69" s="469"/>
      <c r="K69" s="467"/>
      <c r="L69" s="240"/>
      <c r="M69" s="240"/>
      <c r="N69" s="252"/>
      <c r="O69" s="252"/>
      <c r="P69" s="252"/>
      <c r="Q69" s="252"/>
      <c r="R69" s="252"/>
      <c r="S69" s="240"/>
    </row>
    <row r="70" spans="1:19" ht="12.75" hidden="1">
      <c r="A70" s="483" t="s">
        <v>1285</v>
      </c>
      <c r="B70" s="455"/>
      <c r="C70" s="455"/>
      <c r="D70" s="453"/>
      <c r="E70" s="468"/>
      <c r="F70" s="468"/>
      <c r="G70" s="469"/>
      <c r="H70" s="469"/>
      <c r="I70" s="469"/>
      <c r="J70" s="469"/>
      <c r="K70" s="467"/>
      <c r="M70" s="209"/>
      <c r="N70" s="261"/>
      <c r="O70" s="261"/>
      <c r="P70" s="261"/>
      <c r="Q70" s="261"/>
      <c r="R70" s="261"/>
      <c r="S70" s="209"/>
    </row>
    <row r="71" spans="1:19" ht="12.75">
      <c r="A71" s="483"/>
      <c r="B71" s="455"/>
      <c r="C71" s="455"/>
      <c r="D71" s="453"/>
      <c r="E71" s="492"/>
      <c r="F71" s="492"/>
      <c r="G71" s="493"/>
      <c r="H71" s="493"/>
      <c r="I71" s="493"/>
      <c r="J71" s="493"/>
      <c r="K71" s="467"/>
      <c r="M71" s="209"/>
      <c r="N71" s="259"/>
      <c r="O71" s="259"/>
      <c r="P71" s="259"/>
      <c r="Q71" s="259"/>
      <c r="R71" s="259"/>
      <c r="S71" s="209"/>
    </row>
    <row r="72" spans="1:19" ht="12.75">
      <c r="A72" s="484" t="s">
        <v>1283</v>
      </c>
      <c r="B72" s="455"/>
      <c r="C72" s="455"/>
      <c r="D72" s="453"/>
      <c r="E72" s="468"/>
      <c r="F72" s="468"/>
      <c r="G72" s="469"/>
      <c r="H72" s="469"/>
      <c r="I72" s="469"/>
      <c r="J72" s="469"/>
      <c r="K72" s="467"/>
      <c r="M72" s="209"/>
      <c r="N72" s="257"/>
      <c r="O72" s="257"/>
      <c r="P72" s="257"/>
      <c r="Q72" s="252"/>
      <c r="R72" s="252"/>
      <c r="S72" s="209"/>
    </row>
    <row r="73" spans="1:19" ht="12.75">
      <c r="A73" s="483" t="s">
        <v>1282</v>
      </c>
      <c r="B73" s="455"/>
      <c r="C73" s="455"/>
      <c r="D73" s="453"/>
      <c r="E73" s="468">
        <f>+E19</f>
        <v>146.45</v>
      </c>
      <c r="F73" s="468">
        <f>+F19</f>
        <v>146.45</v>
      </c>
      <c r="G73" s="469">
        <v>149.77</v>
      </c>
      <c r="H73" s="469">
        <v>150.37</v>
      </c>
      <c r="I73" s="469">
        <f>I59</f>
        <v>150.88</v>
      </c>
      <c r="J73" s="469"/>
      <c r="K73" s="467"/>
      <c r="L73" s="256"/>
      <c r="M73" s="209"/>
      <c r="N73" s="252"/>
      <c r="O73" s="252"/>
      <c r="P73" s="252"/>
      <c r="Q73" s="252"/>
      <c r="R73" s="252"/>
      <c r="S73" s="209"/>
    </row>
    <row r="74" spans="1:19" ht="12.75">
      <c r="A74" s="483" t="s">
        <v>1281</v>
      </c>
      <c r="B74" s="455"/>
      <c r="C74" s="455"/>
      <c r="D74" s="453"/>
      <c r="E74" s="468">
        <v>7.93</v>
      </c>
      <c r="F74" s="468">
        <v>7.93</v>
      </c>
      <c r="G74" s="469">
        <v>7.93</v>
      </c>
      <c r="H74" s="469">
        <v>7.93</v>
      </c>
      <c r="I74" s="469">
        <v>7.93</v>
      </c>
      <c r="J74" s="469"/>
      <c r="K74" s="467"/>
      <c r="M74" s="209"/>
      <c r="N74" s="252"/>
      <c r="O74" s="252"/>
      <c r="P74" s="252"/>
      <c r="Q74" s="252"/>
      <c r="R74" s="252"/>
      <c r="S74" s="209"/>
    </row>
    <row r="75" spans="1:19" ht="12.75">
      <c r="A75" s="483" t="s">
        <v>1280</v>
      </c>
      <c r="B75" s="455"/>
      <c r="C75" s="455"/>
      <c r="D75" s="453"/>
      <c r="E75" s="468">
        <f>+E73-E74</f>
        <v>138.51999999999998</v>
      </c>
      <c r="F75" s="468">
        <f>+F73-F74</f>
        <v>138.51999999999998</v>
      </c>
      <c r="G75" s="469">
        <v>141.84</v>
      </c>
      <c r="H75" s="469">
        <v>142.44</v>
      </c>
      <c r="I75" s="469">
        <f>+I73-I74</f>
        <v>142.95</v>
      </c>
      <c r="J75" s="469"/>
      <c r="K75" s="467"/>
      <c r="L75" s="114"/>
      <c r="M75" s="209"/>
      <c r="N75" s="252"/>
      <c r="O75" s="252"/>
      <c r="P75" s="252"/>
      <c r="Q75" s="252"/>
      <c r="R75" s="252"/>
      <c r="S75" s="209"/>
    </row>
    <row r="76" spans="1:19" ht="25.5">
      <c r="A76" s="483" t="s">
        <v>1279</v>
      </c>
      <c r="B76" s="455"/>
      <c r="C76" s="455"/>
      <c r="D76" s="453"/>
      <c r="E76" s="468">
        <v>112.68</v>
      </c>
      <c r="F76" s="468">
        <f>(+E76)+(E35)</f>
        <v>119.65</v>
      </c>
      <c r="G76" s="469">
        <v>124.67</v>
      </c>
      <c r="H76" s="469">
        <v>124.94</v>
      </c>
      <c r="I76" s="469">
        <f>(+H76)+(H35)</f>
        <v>125.27</v>
      </c>
      <c r="J76" s="469"/>
      <c r="K76" s="467" t="s">
        <v>1278</v>
      </c>
      <c r="M76" s="209"/>
      <c r="N76" s="255"/>
      <c r="O76" s="252"/>
      <c r="P76" s="252"/>
      <c r="Q76" s="252"/>
      <c r="R76" s="252"/>
      <c r="S76" s="209"/>
    </row>
    <row r="77" spans="1:19" ht="76.5">
      <c r="A77" s="483" t="s">
        <v>1277</v>
      </c>
      <c r="B77" s="455"/>
      <c r="C77" s="455"/>
      <c r="D77" s="453"/>
      <c r="E77" s="472">
        <f>+E75*E25/100</f>
        <v>6.967555999999999</v>
      </c>
      <c r="F77" s="472">
        <v>5.02</v>
      </c>
      <c r="G77" s="331">
        <v>0.27</v>
      </c>
      <c r="H77" s="331">
        <v>0.33</v>
      </c>
      <c r="I77" s="331">
        <v>0.38</v>
      </c>
      <c r="J77" s="331"/>
      <c r="K77" s="467" t="s">
        <v>1743</v>
      </c>
      <c r="M77" s="209"/>
      <c r="N77" s="252"/>
      <c r="O77" s="252"/>
      <c r="P77" s="252"/>
      <c r="Q77" s="252"/>
      <c r="R77" s="252"/>
      <c r="S77" s="209"/>
    </row>
    <row r="78" spans="1:19" ht="12.75">
      <c r="A78" s="483" t="s">
        <v>1276</v>
      </c>
      <c r="B78" s="455"/>
      <c r="C78" s="472"/>
      <c r="D78" s="453"/>
      <c r="E78" s="468">
        <f>+E75*0.9</f>
        <v>124.66799999999999</v>
      </c>
      <c r="F78" s="468">
        <f>+F75*0.9</f>
        <v>124.66799999999999</v>
      </c>
      <c r="G78" s="469">
        <v>127.656</v>
      </c>
      <c r="H78" s="469">
        <v>128.196</v>
      </c>
      <c r="I78" s="469">
        <f>+I75*0.9</f>
        <v>128.655</v>
      </c>
      <c r="J78" s="469"/>
      <c r="K78" s="467"/>
      <c r="M78" s="209"/>
      <c r="N78" s="240"/>
      <c r="O78" s="240"/>
      <c r="P78" s="240"/>
      <c r="Q78" s="240"/>
      <c r="R78" s="240"/>
      <c r="S78" s="209"/>
    </row>
    <row r="79" spans="1:19" ht="12.75">
      <c r="A79" s="483" t="s">
        <v>1275</v>
      </c>
      <c r="B79" s="455"/>
      <c r="C79" s="455"/>
      <c r="D79" s="453"/>
      <c r="E79" s="468">
        <f>+E77</f>
        <v>6.967555999999999</v>
      </c>
      <c r="F79" s="468">
        <f>+F77</f>
        <v>5.02</v>
      </c>
      <c r="G79" s="469">
        <v>0.27</v>
      </c>
      <c r="H79" s="469">
        <v>0.33</v>
      </c>
      <c r="I79" s="469">
        <f>+I77</f>
        <v>0.38</v>
      </c>
      <c r="J79" s="469"/>
      <c r="K79" s="467"/>
      <c r="M79" s="209"/>
      <c r="N79" s="240"/>
      <c r="O79" s="240"/>
      <c r="P79" s="240"/>
      <c r="Q79" s="240"/>
      <c r="R79" s="240"/>
      <c r="S79" s="209"/>
    </row>
    <row r="80" spans="1:19" ht="12.75">
      <c r="A80" s="483"/>
      <c r="B80" s="455"/>
      <c r="C80" s="455"/>
      <c r="D80" s="453"/>
      <c r="E80" s="453"/>
      <c r="F80" s="453"/>
      <c r="G80" s="453"/>
      <c r="H80" s="453"/>
      <c r="I80" s="453"/>
      <c r="J80" s="453"/>
      <c r="K80" s="494"/>
      <c r="M80" s="209"/>
      <c r="N80" s="209"/>
      <c r="O80" s="209"/>
      <c r="P80" s="209"/>
      <c r="Q80" s="209"/>
      <c r="R80" s="209"/>
      <c r="S80" s="209"/>
    </row>
    <row r="81" spans="1:19" ht="12.75" hidden="1">
      <c r="A81" s="483" t="s">
        <v>1274</v>
      </c>
      <c r="B81" s="455"/>
      <c r="C81" s="455"/>
      <c r="D81" s="453"/>
      <c r="E81" s="495"/>
      <c r="F81" s="495"/>
      <c r="G81" s="495"/>
      <c r="H81" s="495"/>
      <c r="I81" s="495"/>
      <c r="J81" s="495"/>
      <c r="K81" s="494"/>
      <c r="L81" s="240"/>
      <c r="M81" s="209"/>
      <c r="N81" s="209"/>
      <c r="O81" s="209"/>
      <c r="P81" s="209"/>
      <c r="Q81" s="209"/>
      <c r="R81" s="209"/>
      <c r="S81" s="209"/>
    </row>
    <row r="82" spans="1:19" ht="12.75" hidden="1">
      <c r="A82" s="483" t="s">
        <v>1259</v>
      </c>
      <c r="B82" s="455"/>
      <c r="C82" s="455"/>
      <c r="D82" s="453"/>
      <c r="E82" s="495"/>
      <c r="F82" s="495"/>
      <c r="G82" s="495"/>
      <c r="H82" s="495"/>
      <c r="I82" s="495"/>
      <c r="J82" s="495"/>
      <c r="K82" s="494"/>
      <c r="L82" s="240"/>
      <c r="M82" s="209"/>
      <c r="N82" s="209"/>
      <c r="O82" s="209"/>
      <c r="P82" s="209"/>
      <c r="Q82" s="209"/>
      <c r="R82" s="209"/>
      <c r="S82" s="209"/>
    </row>
    <row r="83" spans="1:19" ht="12.75" hidden="1">
      <c r="A83" s="483" t="s">
        <v>1273</v>
      </c>
      <c r="B83" s="455"/>
      <c r="C83" s="455"/>
      <c r="D83" s="453"/>
      <c r="E83" s="495"/>
      <c r="F83" s="495"/>
      <c r="G83" s="495"/>
      <c r="H83" s="495"/>
      <c r="I83" s="495"/>
      <c r="J83" s="495"/>
      <c r="K83" s="494"/>
      <c r="L83" s="240"/>
      <c r="M83" s="209"/>
      <c r="N83" s="209"/>
      <c r="O83" s="209"/>
      <c r="P83" s="209"/>
      <c r="Q83" s="209"/>
      <c r="R83" s="209"/>
      <c r="S83" s="209"/>
    </row>
    <row r="84" spans="1:19" ht="12.75" hidden="1">
      <c r="A84" s="483" t="s">
        <v>1272</v>
      </c>
      <c r="B84" s="455"/>
      <c r="C84" s="455"/>
      <c r="D84" s="453"/>
      <c r="E84" s="495"/>
      <c r="F84" s="495"/>
      <c r="G84" s="495"/>
      <c r="H84" s="495"/>
      <c r="I84" s="495"/>
      <c r="J84" s="495"/>
      <c r="K84" s="494"/>
      <c r="L84" s="240"/>
      <c r="M84" s="209"/>
      <c r="N84" s="209"/>
      <c r="O84" s="209"/>
      <c r="P84" s="209"/>
      <c r="Q84" s="209"/>
      <c r="R84" s="209"/>
      <c r="S84" s="209"/>
    </row>
    <row r="85" spans="1:19" ht="12.75" hidden="1">
      <c r="A85" s="483" t="s">
        <v>1271</v>
      </c>
      <c r="B85" s="455"/>
      <c r="C85" s="455"/>
      <c r="D85" s="453"/>
      <c r="E85" s="495"/>
      <c r="F85" s="495"/>
      <c r="G85" s="495"/>
      <c r="H85" s="495"/>
      <c r="I85" s="495"/>
      <c r="J85" s="495"/>
      <c r="K85" s="494"/>
      <c r="L85" s="240"/>
      <c r="M85" s="209"/>
      <c r="N85" s="209"/>
      <c r="O85" s="209"/>
      <c r="P85" s="209"/>
      <c r="Q85" s="209"/>
      <c r="R85" s="209"/>
      <c r="S85" s="209"/>
    </row>
    <row r="86" spans="1:19" ht="12.75" hidden="1">
      <c r="A86" s="483" t="s">
        <v>1270</v>
      </c>
      <c r="B86" s="455"/>
      <c r="C86" s="455"/>
      <c r="D86" s="453"/>
      <c r="E86" s="495"/>
      <c r="F86" s="495"/>
      <c r="G86" s="495"/>
      <c r="H86" s="495"/>
      <c r="I86" s="495"/>
      <c r="J86" s="495"/>
      <c r="K86" s="494"/>
      <c r="L86" s="240"/>
      <c r="M86" s="209"/>
      <c r="N86" s="209"/>
      <c r="O86" s="209"/>
      <c r="P86" s="209"/>
      <c r="Q86" s="209"/>
      <c r="R86" s="209"/>
      <c r="S86" s="209"/>
    </row>
    <row r="87" spans="1:19" ht="12.75" hidden="1">
      <c r="A87" s="483" t="s">
        <v>1269</v>
      </c>
      <c r="B87" s="455"/>
      <c r="C87" s="455"/>
      <c r="D87" s="453"/>
      <c r="E87" s="495"/>
      <c r="F87" s="495"/>
      <c r="G87" s="495"/>
      <c r="H87" s="495"/>
      <c r="I87" s="495"/>
      <c r="J87" s="495"/>
      <c r="K87" s="494"/>
      <c r="L87" s="240"/>
      <c r="M87" s="209"/>
      <c r="N87" s="209"/>
      <c r="O87" s="209"/>
      <c r="P87" s="209"/>
      <c r="Q87" s="209"/>
      <c r="R87" s="209"/>
      <c r="S87" s="209"/>
    </row>
    <row r="88" spans="1:19" ht="12.75" hidden="1">
      <c r="A88" s="483" t="s">
        <v>1268</v>
      </c>
      <c r="B88" s="455"/>
      <c r="C88" s="455"/>
      <c r="D88" s="453"/>
      <c r="E88" s="495"/>
      <c r="F88" s="495"/>
      <c r="G88" s="495"/>
      <c r="H88" s="495"/>
      <c r="I88" s="495"/>
      <c r="J88" s="495"/>
      <c r="K88" s="494"/>
      <c r="L88" s="240"/>
      <c r="M88" s="209"/>
      <c r="N88" s="209"/>
      <c r="O88" s="209"/>
      <c r="P88" s="209"/>
      <c r="Q88" s="209"/>
      <c r="R88" s="209"/>
      <c r="S88" s="209"/>
    </row>
    <row r="89" spans="1:19" ht="12.75" hidden="1">
      <c r="A89" s="483" t="s">
        <v>1267</v>
      </c>
      <c r="B89" s="455"/>
      <c r="C89" s="455"/>
      <c r="D89" s="453"/>
      <c r="E89" s="495"/>
      <c r="F89" s="495"/>
      <c r="G89" s="495"/>
      <c r="H89" s="495"/>
      <c r="I89" s="495"/>
      <c r="J89" s="495"/>
      <c r="K89" s="494"/>
      <c r="L89" s="240"/>
      <c r="M89" s="209"/>
      <c r="N89" s="209"/>
      <c r="O89" s="209"/>
      <c r="P89" s="209"/>
      <c r="Q89" s="209"/>
      <c r="R89" s="209"/>
      <c r="S89" s="209"/>
    </row>
    <row r="90" spans="1:19" ht="12.75" hidden="1">
      <c r="A90" s="483" t="s">
        <v>1266</v>
      </c>
      <c r="B90" s="455"/>
      <c r="C90" s="455"/>
      <c r="D90" s="453"/>
      <c r="E90" s="495"/>
      <c r="F90" s="495"/>
      <c r="G90" s="495"/>
      <c r="H90" s="495"/>
      <c r="I90" s="495"/>
      <c r="J90" s="495"/>
      <c r="K90" s="494"/>
      <c r="L90" s="235"/>
      <c r="M90" s="209"/>
      <c r="N90" s="209"/>
      <c r="O90" s="209"/>
      <c r="P90" s="209"/>
      <c r="Q90" s="209"/>
      <c r="R90" s="209"/>
      <c r="S90" s="209"/>
    </row>
    <row r="91" spans="1:19" ht="12.75" hidden="1">
      <c r="A91" s="483" t="s">
        <v>1265</v>
      </c>
      <c r="B91" s="455"/>
      <c r="C91" s="455"/>
      <c r="D91" s="453"/>
      <c r="E91" s="495"/>
      <c r="F91" s="495"/>
      <c r="G91" s="495"/>
      <c r="H91" s="495"/>
      <c r="I91" s="495"/>
      <c r="J91" s="495"/>
      <c r="K91" s="494"/>
      <c r="L91" s="240"/>
      <c r="M91" s="209"/>
      <c r="N91" s="209"/>
      <c r="O91" s="209"/>
      <c r="P91" s="209"/>
      <c r="Q91" s="209"/>
      <c r="R91" s="209"/>
      <c r="S91" s="209"/>
    </row>
    <row r="92" spans="1:19" ht="12.75" hidden="1">
      <c r="A92" s="483"/>
      <c r="B92" s="455"/>
      <c r="C92" s="455"/>
      <c r="D92" s="453"/>
      <c r="E92" s="452"/>
      <c r="F92" s="452"/>
      <c r="G92" s="452"/>
      <c r="H92" s="452"/>
      <c r="I92" s="452"/>
      <c r="J92" s="452"/>
      <c r="K92" s="494"/>
      <c r="L92" s="235"/>
      <c r="M92" s="209"/>
      <c r="N92" s="209"/>
      <c r="O92" s="209"/>
      <c r="P92" s="209"/>
      <c r="Q92" s="209"/>
      <c r="R92" s="209"/>
      <c r="S92" s="209"/>
    </row>
    <row r="93" spans="1:19" ht="12.75" hidden="1">
      <c r="A93" s="483" t="s">
        <v>1264</v>
      </c>
      <c r="B93" s="455"/>
      <c r="C93" s="455"/>
      <c r="D93" s="453"/>
      <c r="E93" s="452"/>
      <c r="F93" s="452"/>
      <c r="G93" s="452"/>
      <c r="H93" s="452"/>
      <c r="I93" s="452"/>
      <c r="J93" s="452"/>
      <c r="K93" s="494"/>
      <c r="L93" s="235"/>
      <c r="M93" s="209"/>
      <c r="N93" s="209"/>
      <c r="O93" s="209"/>
      <c r="P93" s="209"/>
      <c r="Q93" s="209"/>
      <c r="R93" s="209"/>
      <c r="S93" s="209"/>
    </row>
    <row r="94" spans="1:19" ht="12.75" hidden="1">
      <c r="A94" s="483" t="s">
        <v>1263</v>
      </c>
      <c r="B94" s="455"/>
      <c r="C94" s="455"/>
      <c r="D94" s="453"/>
      <c r="E94" s="495"/>
      <c r="F94" s="495"/>
      <c r="G94" s="495"/>
      <c r="H94" s="495"/>
      <c r="I94" s="495"/>
      <c r="J94" s="495"/>
      <c r="K94" s="494"/>
      <c r="L94" s="244"/>
      <c r="M94" s="209"/>
      <c r="N94" s="209"/>
      <c r="O94" s="209"/>
      <c r="P94" s="209"/>
      <c r="Q94" s="209"/>
      <c r="R94" s="209"/>
      <c r="S94" s="209"/>
    </row>
    <row r="95" spans="1:19" ht="12.75" hidden="1">
      <c r="A95" s="483" t="s">
        <v>1262</v>
      </c>
      <c r="B95" s="455"/>
      <c r="C95" s="455"/>
      <c r="D95" s="453"/>
      <c r="E95" s="495"/>
      <c r="F95" s="495"/>
      <c r="G95" s="495"/>
      <c r="H95" s="495"/>
      <c r="I95" s="495"/>
      <c r="J95" s="495"/>
      <c r="K95" s="494"/>
      <c r="L95" s="244"/>
      <c r="M95" s="209"/>
      <c r="N95" s="209"/>
      <c r="O95" s="209"/>
      <c r="P95" s="209"/>
      <c r="Q95" s="209"/>
      <c r="R95" s="209"/>
      <c r="S95" s="209"/>
    </row>
    <row r="96" spans="1:19" ht="12.75" hidden="1">
      <c r="A96" s="483" t="s">
        <v>1261</v>
      </c>
      <c r="B96" s="455"/>
      <c r="C96" s="455"/>
      <c r="D96" s="453"/>
      <c r="E96" s="495"/>
      <c r="F96" s="495"/>
      <c r="G96" s="495"/>
      <c r="H96" s="495"/>
      <c r="I96" s="495"/>
      <c r="J96" s="495"/>
      <c r="K96" s="494"/>
      <c r="L96" s="240"/>
      <c r="M96" s="209"/>
      <c r="N96" s="209"/>
      <c r="O96" s="209"/>
      <c r="P96" s="209"/>
      <c r="Q96" s="209"/>
      <c r="R96" s="209"/>
      <c r="S96" s="209"/>
    </row>
    <row r="97" spans="1:19" ht="12.75" hidden="1">
      <c r="A97" s="483" t="s">
        <v>1260</v>
      </c>
      <c r="B97" s="455"/>
      <c r="C97" s="455"/>
      <c r="D97" s="453"/>
      <c r="E97" s="468"/>
      <c r="F97" s="468"/>
      <c r="G97" s="468"/>
      <c r="H97" s="468"/>
      <c r="I97" s="468"/>
      <c r="J97" s="468"/>
      <c r="K97" s="468"/>
      <c r="L97" s="244"/>
      <c r="M97" s="209"/>
      <c r="N97" s="209"/>
      <c r="O97" s="209"/>
      <c r="P97" s="209"/>
      <c r="Q97" s="209"/>
      <c r="R97" s="209"/>
      <c r="S97" s="209"/>
    </row>
    <row r="98" spans="1:19" ht="12.75" hidden="1">
      <c r="A98" s="496" t="s">
        <v>1259</v>
      </c>
      <c r="B98" s="497"/>
      <c r="C98" s="497"/>
      <c r="D98" s="453"/>
      <c r="E98" s="468"/>
      <c r="F98" s="468"/>
      <c r="G98" s="468"/>
      <c r="H98" s="468"/>
      <c r="I98" s="468"/>
      <c r="J98" s="468"/>
      <c r="K98" s="468"/>
      <c r="L98" s="240"/>
      <c r="M98" s="209"/>
      <c r="N98" s="209"/>
      <c r="O98" s="209"/>
      <c r="P98" s="209"/>
      <c r="Q98" s="209"/>
      <c r="R98" s="209"/>
      <c r="S98" s="209"/>
    </row>
    <row r="99" spans="1:19" ht="12.75">
      <c r="A99" s="498"/>
      <c r="B99" s="452"/>
      <c r="C99" s="452"/>
      <c r="D99" s="499"/>
      <c r="E99" s="500"/>
      <c r="F99" s="500"/>
      <c r="G99" s="500"/>
      <c r="H99" s="500"/>
      <c r="I99" s="500"/>
      <c r="J99" s="500"/>
      <c r="K99" s="453"/>
      <c r="M99" s="209"/>
      <c r="N99" s="209"/>
      <c r="O99" s="209"/>
      <c r="P99" s="209"/>
      <c r="Q99" s="209"/>
      <c r="R99" s="209"/>
      <c r="S99" s="209"/>
    </row>
    <row r="100" spans="1:19" ht="12.75">
      <c r="A100" s="452"/>
      <c r="B100" s="452"/>
      <c r="C100" s="452"/>
      <c r="D100" s="452"/>
      <c r="E100" s="452"/>
      <c r="F100" s="452"/>
      <c r="G100" s="452"/>
      <c r="H100" s="452"/>
      <c r="I100" s="452"/>
      <c r="J100" s="452"/>
      <c r="K100" s="453"/>
      <c r="M100" s="209"/>
      <c r="N100" s="209"/>
      <c r="O100" s="209"/>
      <c r="P100" s="209"/>
      <c r="Q100" s="209"/>
      <c r="R100" s="209"/>
      <c r="S100" s="209"/>
    </row>
    <row r="101" spans="1:19" ht="12.75">
      <c r="A101" s="452"/>
      <c r="B101" s="452"/>
      <c r="C101" s="452"/>
      <c r="D101" s="452"/>
      <c r="E101" s="452"/>
      <c r="F101" s="452"/>
      <c r="G101" s="452"/>
      <c r="H101" s="452"/>
      <c r="I101" s="452"/>
      <c r="J101" s="452"/>
      <c r="K101" s="453"/>
      <c r="M101" s="209"/>
      <c r="N101" s="209"/>
      <c r="O101" s="209"/>
      <c r="P101" s="209"/>
      <c r="Q101" s="209"/>
      <c r="R101" s="209"/>
      <c r="S101" s="209"/>
    </row>
    <row r="102" spans="1:19" ht="12.75">
      <c r="A102" s="452"/>
      <c r="B102" s="452"/>
      <c r="C102" s="452"/>
      <c r="D102" s="452"/>
      <c r="E102" s="452"/>
      <c r="F102" s="452"/>
      <c r="G102" s="452"/>
      <c r="H102" s="452"/>
      <c r="I102" s="452"/>
      <c r="J102" s="452"/>
      <c r="K102" s="453"/>
      <c r="M102" s="209"/>
      <c r="N102" s="209"/>
      <c r="O102" s="209"/>
      <c r="P102" s="209"/>
      <c r="Q102" s="209"/>
      <c r="R102" s="209"/>
      <c r="S102" s="209"/>
    </row>
    <row r="103" spans="1:19" ht="12.75">
      <c r="A103" s="452"/>
      <c r="B103" s="452"/>
      <c r="C103" s="452"/>
      <c r="D103" s="452"/>
      <c r="E103" s="452"/>
      <c r="F103" s="452"/>
      <c r="G103" s="452"/>
      <c r="H103" s="452"/>
      <c r="I103" s="452"/>
      <c r="J103" s="452"/>
      <c r="K103" s="453"/>
      <c r="M103" s="209"/>
      <c r="N103" s="209"/>
      <c r="O103" s="209"/>
      <c r="P103" s="209"/>
      <c r="Q103" s="209"/>
      <c r="R103" s="209"/>
      <c r="S103" s="209"/>
    </row>
    <row r="104" spans="1:11" ht="12.75">
      <c r="A104" s="452"/>
      <c r="B104" s="452"/>
      <c r="C104" s="452"/>
      <c r="D104" s="452"/>
      <c r="E104" s="452"/>
      <c r="F104" s="452"/>
      <c r="G104" s="452"/>
      <c r="H104" s="452"/>
      <c r="I104" s="452"/>
      <c r="J104" s="452"/>
      <c r="K104" s="453"/>
    </row>
    <row r="105" spans="1:11" ht="12.75">
      <c r="A105" s="452"/>
      <c r="B105" s="452"/>
      <c r="C105" s="452"/>
      <c r="D105" s="452"/>
      <c r="E105" s="452"/>
      <c r="F105" s="452"/>
      <c r="G105" s="452"/>
      <c r="H105" s="452"/>
      <c r="I105" s="452"/>
      <c r="J105" s="452"/>
      <c r="K105" s="453"/>
    </row>
    <row r="106" spans="1:11" ht="20.25">
      <c r="A106" s="452"/>
      <c r="B106" s="501"/>
      <c r="C106" s="452"/>
      <c r="D106" s="452"/>
      <c r="E106" s="452"/>
      <c r="F106" s="452"/>
      <c r="G106" s="452"/>
      <c r="H106" s="452"/>
      <c r="I106" s="452"/>
      <c r="J106" s="452"/>
      <c r="K106" s="453"/>
    </row>
    <row r="107" spans="1:11" ht="12.75">
      <c r="A107" s="452"/>
      <c r="B107" s="452"/>
      <c r="C107" s="452"/>
      <c r="D107" s="452"/>
      <c r="E107" s="452"/>
      <c r="F107" s="452"/>
      <c r="G107" s="452"/>
      <c r="H107" s="452"/>
      <c r="I107" s="452"/>
      <c r="J107" s="452"/>
      <c r="K107" s="453"/>
    </row>
    <row r="108" spans="1:11" ht="12.75">
      <c r="A108" s="1351"/>
      <c r="B108" s="1351"/>
      <c r="C108" s="452"/>
      <c r="D108" s="452"/>
      <c r="E108" s="498"/>
      <c r="F108" s="498"/>
      <c r="G108" s="498"/>
      <c r="H108" s="498"/>
      <c r="I108" s="498"/>
      <c r="J108" s="498"/>
      <c r="K108" s="453"/>
    </row>
    <row r="109" spans="1:10" ht="12.75">
      <c r="A109" s="209"/>
      <c r="B109" s="209"/>
      <c r="C109" s="209"/>
      <c r="D109" s="209"/>
      <c r="E109" s="209"/>
      <c r="F109" s="209"/>
      <c r="G109" s="209"/>
      <c r="H109" s="209"/>
      <c r="I109" s="209"/>
      <c r="J109" s="209"/>
    </row>
    <row r="110" spans="5:10" ht="12.75">
      <c r="E110" s="209"/>
      <c r="F110" s="209"/>
      <c r="G110" s="209"/>
      <c r="H110" s="209"/>
      <c r="I110" s="209"/>
      <c r="J110" s="209"/>
    </row>
    <row r="111" spans="5:10" ht="12.75">
      <c r="E111" s="209"/>
      <c r="F111" s="209"/>
      <c r="G111" s="209"/>
      <c r="H111" s="209"/>
      <c r="I111" s="209"/>
      <c r="J111" s="209"/>
    </row>
  </sheetData>
  <sheetProtection/>
  <mergeCells count="9">
    <mergeCell ref="A42:B42"/>
    <mergeCell ref="A63:B63"/>
    <mergeCell ref="A108:B108"/>
    <mergeCell ref="A2:K2"/>
    <mergeCell ref="A3:K3"/>
    <mergeCell ref="A4:K4"/>
    <mergeCell ref="A6:B6"/>
    <mergeCell ref="A7:B7"/>
    <mergeCell ref="K15:K16"/>
  </mergeCells>
  <printOptions/>
  <pageMargins left="0.72" right="0.7480314960629921" top="0.984251968503937" bottom="0.984251968503937" header="0.5118110236220472" footer="0.5118110236220472"/>
  <pageSetup horizontalDpi="600" verticalDpi="600" orientation="portrait" paperSize="9" scale="82" r:id="rId1"/>
  <rowBreaks count="1" manualBreakCount="1">
    <brk id="60" max="10" man="1"/>
  </rowBreaks>
</worksheet>
</file>

<file path=xl/worksheets/sheet35.xml><?xml version="1.0" encoding="utf-8"?>
<worksheet xmlns="http://schemas.openxmlformats.org/spreadsheetml/2006/main" xmlns:r="http://schemas.openxmlformats.org/officeDocument/2006/relationships">
  <dimension ref="A1:V111"/>
  <sheetViews>
    <sheetView zoomScalePageLayoutView="0" workbookViewId="0" topLeftCell="A1">
      <selection activeCell="B30" sqref="B30"/>
    </sheetView>
  </sheetViews>
  <sheetFormatPr defaultColWidth="9.33203125" defaultRowHeight="12.75"/>
  <cols>
    <col min="1" max="1" width="13.5" style="90" customWidth="1"/>
    <col min="2" max="2" width="21.33203125" style="90" customWidth="1"/>
    <col min="3" max="3" width="13.66015625" style="90" customWidth="1"/>
    <col min="4" max="4" width="10.5" style="90" hidden="1" customWidth="1"/>
    <col min="5" max="5" width="0.328125" style="90" hidden="1" customWidth="1"/>
    <col min="6" max="7" width="10.66015625" style="90" hidden="1" customWidth="1"/>
    <col min="8" max="8" width="10.5" style="90" hidden="1" customWidth="1"/>
    <col min="9" max="12" width="9.33203125" style="90" customWidth="1"/>
    <col min="13" max="13" width="11.5" style="90" customWidth="1"/>
    <col min="14" max="14" width="26.83203125" style="90" customWidth="1"/>
    <col min="15" max="15" width="14" style="90" bestFit="1" customWidth="1"/>
    <col min="16" max="16" width="16.33203125" style="90" customWidth="1"/>
    <col min="17" max="16384" width="9.33203125" style="90" customWidth="1"/>
  </cols>
  <sheetData>
    <row r="1" spans="1:14" ht="12.75">
      <c r="A1" s="209"/>
      <c r="B1" s="209"/>
      <c r="C1" s="209"/>
      <c r="D1" s="209"/>
      <c r="N1" s="198"/>
    </row>
    <row r="2" spans="1:14" ht="12.75">
      <c r="A2" s="1262" t="s">
        <v>1369</v>
      </c>
      <c r="B2" s="1262"/>
      <c r="C2" s="1262"/>
      <c r="D2" s="1262"/>
      <c r="E2" s="1262"/>
      <c r="F2" s="1262"/>
      <c r="G2" s="1262"/>
      <c r="H2" s="1262"/>
      <c r="I2" s="1262"/>
      <c r="J2" s="1262"/>
      <c r="K2" s="1262"/>
      <c r="L2" s="1262"/>
      <c r="M2" s="1262"/>
      <c r="N2" s="1262"/>
    </row>
    <row r="3" spans="1:14" ht="12.75">
      <c r="A3" s="1262" t="s">
        <v>1368</v>
      </c>
      <c r="B3" s="1262"/>
      <c r="C3" s="1262"/>
      <c r="D3" s="1262"/>
      <c r="E3" s="1262"/>
      <c r="F3" s="1262"/>
      <c r="G3" s="1262"/>
      <c r="H3" s="1262"/>
      <c r="I3" s="1262"/>
      <c r="J3" s="1262"/>
      <c r="K3" s="1262"/>
      <c r="L3" s="1262"/>
      <c r="M3" s="1262"/>
      <c r="N3" s="1262"/>
    </row>
    <row r="4" spans="1:14" ht="39.75" customHeight="1">
      <c r="A4" s="1361" t="s">
        <v>1732</v>
      </c>
      <c r="B4" s="1361"/>
      <c r="C4" s="1361"/>
      <c r="D4" s="1361"/>
      <c r="E4" s="1361"/>
      <c r="F4" s="1361"/>
      <c r="G4" s="1361"/>
      <c r="H4" s="1361"/>
      <c r="I4" s="1361"/>
      <c r="J4" s="1361"/>
      <c r="K4" s="1361"/>
      <c r="L4" s="1361"/>
      <c r="M4" s="1361"/>
      <c r="N4" s="1361"/>
    </row>
    <row r="5" spans="1:22" ht="12.75">
      <c r="A5" s="246" t="s">
        <v>1367</v>
      </c>
      <c r="B5" s="246"/>
      <c r="C5" s="246"/>
      <c r="E5" s="328">
        <f>+E6/365*12</f>
        <v>12.032876712328768</v>
      </c>
      <c r="F5" s="328">
        <v>12</v>
      </c>
      <c r="G5" s="328">
        <v>12</v>
      </c>
      <c r="H5" s="328">
        <v>12</v>
      </c>
      <c r="I5" s="328">
        <v>12</v>
      </c>
      <c r="J5" s="328">
        <v>12</v>
      </c>
      <c r="K5" s="328">
        <v>12</v>
      </c>
      <c r="L5" s="328">
        <v>12</v>
      </c>
      <c r="M5" s="328">
        <v>12</v>
      </c>
      <c r="N5" s="213"/>
      <c r="P5" s="209"/>
      <c r="Q5" s="327"/>
      <c r="R5" s="327"/>
      <c r="S5" s="327"/>
      <c r="T5" s="327"/>
      <c r="U5" s="327"/>
      <c r="V5" s="209"/>
    </row>
    <row r="6" spans="1:22" ht="13.5" thickBot="1">
      <c r="A6" s="1362" t="s">
        <v>1366</v>
      </c>
      <c r="B6" s="1363"/>
      <c r="C6" s="326"/>
      <c r="E6" s="318">
        <v>366</v>
      </c>
      <c r="F6" s="269">
        <v>365</v>
      </c>
      <c r="G6" s="269">
        <v>365</v>
      </c>
      <c r="H6" s="269">
        <v>365</v>
      </c>
      <c r="I6" s="269">
        <v>365</v>
      </c>
      <c r="J6" s="269">
        <v>366</v>
      </c>
      <c r="K6" s="269">
        <v>365</v>
      </c>
      <c r="L6" s="269">
        <v>365</v>
      </c>
      <c r="M6" s="269">
        <v>365</v>
      </c>
      <c r="N6" s="225"/>
      <c r="P6" s="209"/>
      <c r="Q6" s="235"/>
      <c r="R6" s="235"/>
      <c r="S6" s="235"/>
      <c r="T6" s="235"/>
      <c r="U6" s="235"/>
      <c r="V6" s="209"/>
    </row>
    <row r="7" spans="1:22" ht="12.75">
      <c r="A7" s="1364" t="s">
        <v>1365</v>
      </c>
      <c r="B7" s="1365"/>
      <c r="C7" s="325"/>
      <c r="E7" s="324" t="s">
        <v>1306</v>
      </c>
      <c r="F7" s="324" t="s">
        <v>1305</v>
      </c>
      <c r="G7" s="324" t="s">
        <v>1364</v>
      </c>
      <c r="H7" s="324" t="s">
        <v>1363</v>
      </c>
      <c r="I7" s="324" t="s">
        <v>1363</v>
      </c>
      <c r="J7" s="324" t="s">
        <v>1362</v>
      </c>
      <c r="K7" s="324" t="s">
        <v>1361</v>
      </c>
      <c r="L7" s="324" t="s">
        <v>1360</v>
      </c>
      <c r="M7" s="324" t="s">
        <v>1359</v>
      </c>
      <c r="N7" s="225"/>
      <c r="P7" s="209"/>
      <c r="Q7" s="323"/>
      <c r="R7" s="323"/>
      <c r="S7" s="323"/>
      <c r="T7" s="323"/>
      <c r="U7" s="323"/>
      <c r="V7" s="209"/>
    </row>
    <row r="8" spans="1:22" ht="12.75">
      <c r="A8" s="246" t="s">
        <v>1355</v>
      </c>
      <c r="B8" s="246"/>
      <c r="C8" s="249"/>
      <c r="E8" s="269"/>
      <c r="F8" s="269"/>
      <c r="G8" s="269"/>
      <c r="H8" s="269"/>
      <c r="I8" s="269"/>
      <c r="J8" s="269"/>
      <c r="K8" s="269"/>
      <c r="L8" s="269"/>
      <c r="M8" s="269"/>
      <c r="N8" s="225"/>
      <c r="P8" s="209"/>
      <c r="Q8" s="235"/>
      <c r="R8" s="235"/>
      <c r="S8" s="235"/>
      <c r="T8" s="235"/>
      <c r="U8" s="235"/>
      <c r="V8" s="209"/>
    </row>
    <row r="9" spans="1:22" ht="12.75">
      <c r="A9" s="246" t="s">
        <v>1354</v>
      </c>
      <c r="B9" s="246"/>
      <c r="C9" s="249" t="s">
        <v>1353</v>
      </c>
      <c r="E9" s="322">
        <v>32.5</v>
      </c>
      <c r="F9" s="322">
        <v>32.5</v>
      </c>
      <c r="G9" s="322">
        <v>32.5</v>
      </c>
      <c r="H9" s="322">
        <v>32.5</v>
      </c>
      <c r="I9" s="321">
        <v>32.5</v>
      </c>
      <c r="J9" s="321">
        <v>32.5</v>
      </c>
      <c r="K9" s="321">
        <v>32.5</v>
      </c>
      <c r="L9" s="321">
        <v>32.5</v>
      </c>
      <c r="M9" s="321">
        <v>32.5</v>
      </c>
      <c r="N9" s="225"/>
      <c r="P9" s="209"/>
      <c r="Q9" s="257"/>
      <c r="R9" s="257"/>
      <c r="S9" s="257"/>
      <c r="T9" s="257"/>
      <c r="U9" s="257"/>
      <c r="V9" s="304"/>
    </row>
    <row r="10" spans="1:22" ht="12.75">
      <c r="A10" s="246" t="s">
        <v>1352</v>
      </c>
      <c r="B10" s="246"/>
      <c r="C10" s="249" t="s">
        <v>1349</v>
      </c>
      <c r="E10" s="320">
        <f>+E9*E6*24/1000*E11/100</f>
        <v>242.65800000000002</v>
      </c>
      <c r="F10" s="320">
        <f>'[2]2G'!I33</f>
        <v>230.76</v>
      </c>
      <c r="G10" s="320">
        <v>256.97</v>
      </c>
      <c r="H10" s="320">
        <v>257</v>
      </c>
      <c r="I10" s="319">
        <v>102.137</v>
      </c>
      <c r="J10" s="319">
        <v>227.01</v>
      </c>
      <c r="K10" s="319">
        <v>242.66</v>
      </c>
      <c r="L10" s="319">
        <v>242</v>
      </c>
      <c r="M10" s="319">
        <v>222.06</v>
      </c>
      <c r="N10" s="225"/>
      <c r="P10" s="209"/>
      <c r="Q10" s="317"/>
      <c r="R10" s="317"/>
      <c r="S10" s="317"/>
      <c r="T10" s="317"/>
      <c r="U10" s="317"/>
      <c r="V10" s="304"/>
    </row>
    <row r="11" spans="1:22" ht="25.5">
      <c r="A11" s="246" t="s">
        <v>1219</v>
      </c>
      <c r="B11" s="246"/>
      <c r="C11" s="249" t="s">
        <v>1284</v>
      </c>
      <c r="E11" s="318">
        <v>85</v>
      </c>
      <c r="F11" s="269">
        <v>85</v>
      </c>
      <c r="G11" s="269">
        <v>85</v>
      </c>
      <c r="H11" s="269">
        <v>85</v>
      </c>
      <c r="I11" s="280">
        <v>85</v>
      </c>
      <c r="J11" s="280">
        <v>85</v>
      </c>
      <c r="K11" s="280">
        <v>85</v>
      </c>
      <c r="L11" s="280">
        <v>85</v>
      </c>
      <c r="M11" s="280">
        <v>78</v>
      </c>
      <c r="N11" s="250" t="s">
        <v>1338</v>
      </c>
      <c r="P11" s="209"/>
      <c r="Q11" s="257"/>
      <c r="R11" s="257"/>
      <c r="S11" s="257"/>
      <c r="T11" s="257"/>
      <c r="U11" s="257"/>
      <c r="V11" s="304"/>
    </row>
    <row r="12" spans="1:22" ht="51" customHeight="1">
      <c r="A12" s="246" t="s">
        <v>1351</v>
      </c>
      <c r="B12" s="246"/>
      <c r="C12" s="249" t="s">
        <v>1284</v>
      </c>
      <c r="E12" s="245">
        <v>5.5</v>
      </c>
      <c r="F12" s="245">
        <v>5.5</v>
      </c>
      <c r="G12" s="245">
        <v>5.502</v>
      </c>
      <c r="H12" s="245">
        <v>6</v>
      </c>
      <c r="I12" s="300">
        <v>5</v>
      </c>
      <c r="J12" s="300">
        <v>5</v>
      </c>
      <c r="K12" s="300">
        <v>5</v>
      </c>
      <c r="L12" s="300">
        <v>5</v>
      </c>
      <c r="M12" s="300">
        <v>6</v>
      </c>
      <c r="N12" s="250"/>
      <c r="P12" s="209"/>
      <c r="Q12" s="252"/>
      <c r="R12" s="252"/>
      <c r="S12" s="252"/>
      <c r="T12" s="252"/>
      <c r="U12" s="252"/>
      <c r="V12" s="304"/>
    </row>
    <row r="13" spans="1:22" ht="12.75">
      <c r="A13" s="246" t="s">
        <v>1350</v>
      </c>
      <c r="B13" s="246"/>
      <c r="C13" s="249" t="s">
        <v>1349</v>
      </c>
      <c r="E13" s="316">
        <f>+E10*(1-E12/100)</f>
        <v>229.31181</v>
      </c>
      <c r="F13" s="316">
        <f>+F10*(1-F12/100)</f>
        <v>218.0682</v>
      </c>
      <c r="G13" s="316">
        <f>+G10*(1-G12/100)</f>
        <v>242.83151060000003</v>
      </c>
      <c r="H13" s="316">
        <f>+H10*(1-H12/100)</f>
        <v>241.57999999999998</v>
      </c>
      <c r="I13" s="315">
        <v>95.346</v>
      </c>
      <c r="J13" s="315">
        <f>+J10*(1-J12/100)</f>
        <v>215.65949999999998</v>
      </c>
      <c r="K13" s="315">
        <f>+K10*(1-K12/100)</f>
        <v>230.527</v>
      </c>
      <c r="L13" s="315">
        <f>+L10*(1-L12/100)</f>
        <v>229.89999999999998</v>
      </c>
      <c r="M13" s="315">
        <f>+M10*(1-M12/100)</f>
        <v>208.7364</v>
      </c>
      <c r="N13" s="225"/>
      <c r="P13" s="209"/>
      <c r="Q13" s="317"/>
      <c r="R13" s="317"/>
      <c r="S13" s="317"/>
      <c r="T13" s="317"/>
      <c r="U13" s="317"/>
      <c r="V13" s="304"/>
    </row>
    <row r="14" spans="1:22" ht="12.75">
      <c r="A14" s="246" t="s">
        <v>1348</v>
      </c>
      <c r="B14" s="246"/>
      <c r="C14" s="249" t="s">
        <v>1347</v>
      </c>
      <c r="E14" s="316">
        <f aca="true" t="shared" si="0" ref="E14:J14">+E17/E16</f>
        <v>0.24091257684107398</v>
      </c>
      <c r="F14" s="316">
        <f t="shared" si="0"/>
        <v>0.2470576789627387</v>
      </c>
      <c r="G14" s="316">
        <f t="shared" si="0"/>
        <v>0.2568321234747778</v>
      </c>
      <c r="H14" s="316">
        <f t="shared" si="0"/>
        <v>0.2613760764285623</v>
      </c>
      <c r="I14" s="315">
        <f t="shared" si="0"/>
        <v>0.2615706111467353</v>
      </c>
      <c r="J14" s="315">
        <f t="shared" si="0"/>
        <v>0.2613761861203911</v>
      </c>
      <c r="K14" s="315">
        <v>0.262</v>
      </c>
      <c r="L14" s="315">
        <v>0.263</v>
      </c>
      <c r="M14" s="315">
        <f>+M17/M16</f>
        <v>0.25023634451971954</v>
      </c>
      <c r="N14" s="225" t="s">
        <v>1346</v>
      </c>
      <c r="P14" s="209"/>
      <c r="Q14" s="314"/>
      <c r="R14" s="314"/>
      <c r="S14" s="314"/>
      <c r="T14" s="314"/>
      <c r="U14" s="314"/>
      <c r="V14" s="304"/>
    </row>
    <row r="15" spans="1:22" ht="12.75">
      <c r="A15" s="246" t="s">
        <v>1345</v>
      </c>
      <c r="B15" s="246"/>
      <c r="C15" s="249" t="s">
        <v>1344</v>
      </c>
      <c r="E15" s="311">
        <v>8516.55</v>
      </c>
      <c r="F15" s="311">
        <f>'[2]HR 12-13 (2)'!B50</f>
        <v>9664.69292810229</v>
      </c>
      <c r="G15" s="311">
        <f>'[2]HR 13-14 '!D50</f>
        <v>10304.313402764148</v>
      </c>
      <c r="H15" s="311">
        <f>'[2]Fuel cost'!G28</f>
        <v>10652.39688151332</v>
      </c>
      <c r="I15" s="310">
        <v>10652.4</v>
      </c>
      <c r="J15" s="313">
        <v>10376.17</v>
      </c>
      <c r="K15" s="313">
        <v>11684.55</v>
      </c>
      <c r="L15" s="313">
        <v>7663.72</v>
      </c>
      <c r="M15" s="313">
        <v>7515.47</v>
      </c>
      <c r="N15" s="1269" t="s">
        <v>1343</v>
      </c>
      <c r="P15" s="209"/>
      <c r="Q15" s="252"/>
      <c r="R15" s="252"/>
      <c r="S15" s="252"/>
      <c r="T15" s="252"/>
      <c r="U15" s="252"/>
      <c r="V15" s="304"/>
    </row>
    <row r="16" spans="1:22" ht="12.75">
      <c r="A16" s="246" t="s">
        <v>1342</v>
      </c>
      <c r="B16" s="246"/>
      <c r="C16" s="249" t="s">
        <v>1341</v>
      </c>
      <c r="E16" s="245">
        <v>9962.12</v>
      </c>
      <c r="F16" s="245">
        <f>'[2]HR 12-13 (2)'!K44</f>
        <v>10017.903553498858</v>
      </c>
      <c r="G16" s="245">
        <f>'[2]HR 13-14 '!M44</f>
        <v>10123.344248467163</v>
      </c>
      <c r="H16" s="245">
        <f>'[2]HR 13-14 '!M44</f>
        <v>10123.344248467163</v>
      </c>
      <c r="I16" s="300">
        <f>'[2]HR 14-15'!M44</f>
        <v>10115.81533720412</v>
      </c>
      <c r="J16" s="300">
        <v>10123.34</v>
      </c>
      <c r="K16" s="300">
        <v>10097.64</v>
      </c>
      <c r="L16" s="312">
        <v>9959.65</v>
      </c>
      <c r="M16" s="312">
        <f>'[1]2G (2)'!J40</f>
        <v>10574.003568820059</v>
      </c>
      <c r="N16" s="1270"/>
      <c r="P16" s="209"/>
      <c r="Q16" s="252"/>
      <c r="R16" s="252"/>
      <c r="S16" s="252"/>
      <c r="T16" s="252"/>
      <c r="U16" s="252"/>
      <c r="V16" s="304"/>
    </row>
    <row r="17" spans="1:22" ht="25.5">
      <c r="A17" s="246" t="s">
        <v>1340</v>
      </c>
      <c r="B17" s="246"/>
      <c r="C17" s="249" t="s">
        <v>1339</v>
      </c>
      <c r="E17" s="311">
        <v>2400</v>
      </c>
      <c r="F17" s="311">
        <v>2475</v>
      </c>
      <c r="G17" s="311">
        <v>2600</v>
      </c>
      <c r="H17" s="311">
        <v>2646</v>
      </c>
      <c r="I17" s="310">
        <v>2646</v>
      </c>
      <c r="J17" s="310">
        <v>2646</v>
      </c>
      <c r="K17" s="310">
        <v>2646</v>
      </c>
      <c r="L17" s="310">
        <v>2646</v>
      </c>
      <c r="M17" s="310">
        <v>2646</v>
      </c>
      <c r="N17" s="250" t="s">
        <v>1338</v>
      </c>
      <c r="P17" s="209"/>
      <c r="Q17" s="252"/>
      <c r="R17" s="252"/>
      <c r="S17" s="252"/>
      <c r="T17" s="252"/>
      <c r="U17" s="252"/>
      <c r="V17" s="304"/>
    </row>
    <row r="18" spans="1:22" ht="12.75">
      <c r="A18" s="246"/>
      <c r="B18" s="246"/>
      <c r="C18" s="249"/>
      <c r="E18" s="269"/>
      <c r="F18" s="269"/>
      <c r="G18" s="269"/>
      <c r="H18" s="269"/>
      <c r="I18" s="269"/>
      <c r="J18" s="269"/>
      <c r="K18" s="269"/>
      <c r="L18" s="269"/>
      <c r="M18" s="269"/>
      <c r="N18" s="225"/>
      <c r="P18" s="209"/>
      <c r="Q18" s="252"/>
      <c r="R18" s="252"/>
      <c r="S18" s="252"/>
      <c r="T18" s="257"/>
      <c r="U18" s="257"/>
      <c r="V18" s="304"/>
    </row>
    <row r="19" spans="1:22" ht="38.25">
      <c r="A19" s="246" t="s">
        <v>1337</v>
      </c>
      <c r="B19" s="246"/>
      <c r="C19" s="249" t="s">
        <v>1300</v>
      </c>
      <c r="E19" s="241">
        <v>146.45</v>
      </c>
      <c r="F19" s="241">
        <f>+F60</f>
        <v>146.45</v>
      </c>
      <c r="G19" s="241">
        <v>146.45</v>
      </c>
      <c r="H19" s="241">
        <f>+H60</f>
        <v>148.10999999999999</v>
      </c>
      <c r="I19" s="282">
        <v>148.11</v>
      </c>
      <c r="J19" s="282">
        <v>150.09</v>
      </c>
      <c r="K19" s="282">
        <v>150.88</v>
      </c>
      <c r="L19" s="282">
        <v>150.92</v>
      </c>
      <c r="M19" s="282">
        <f>+M60</f>
        <v>156.8045</v>
      </c>
      <c r="N19" s="250" t="s">
        <v>1336</v>
      </c>
      <c r="P19" s="209"/>
      <c r="Q19" s="252"/>
      <c r="R19" s="252"/>
      <c r="S19" s="252"/>
      <c r="T19" s="252"/>
      <c r="U19" s="252"/>
      <c r="V19" s="304"/>
    </row>
    <row r="20" spans="1:22" ht="12.75">
      <c r="A20" s="246" t="s">
        <v>1335</v>
      </c>
      <c r="B20" s="246"/>
      <c r="C20" s="249" t="s">
        <v>1284</v>
      </c>
      <c r="E20" s="309">
        <v>70</v>
      </c>
      <c r="F20" s="309">
        <v>70</v>
      </c>
      <c r="G20" s="309">
        <v>70</v>
      </c>
      <c r="H20" s="309">
        <v>70</v>
      </c>
      <c r="I20" s="308">
        <v>70</v>
      </c>
      <c r="J20" s="308">
        <v>70</v>
      </c>
      <c r="K20" s="308">
        <v>70</v>
      </c>
      <c r="L20" s="308">
        <v>70</v>
      </c>
      <c r="M20" s="308">
        <v>70</v>
      </c>
      <c r="N20" s="225" t="s">
        <v>1334</v>
      </c>
      <c r="P20" s="209"/>
      <c r="Q20" s="252"/>
      <c r="R20" s="252"/>
      <c r="S20" s="252"/>
      <c r="T20" s="252"/>
      <c r="U20" s="252"/>
      <c r="V20" s="304"/>
    </row>
    <row r="21" spans="1:22" ht="12.75">
      <c r="A21" s="246" t="s">
        <v>1333</v>
      </c>
      <c r="B21" s="246"/>
      <c r="C21" s="249" t="s">
        <v>1284</v>
      </c>
      <c r="E21" s="309">
        <v>30</v>
      </c>
      <c r="F21" s="309">
        <v>30</v>
      </c>
      <c r="G21" s="309">
        <v>30</v>
      </c>
      <c r="H21" s="309">
        <v>30</v>
      </c>
      <c r="I21" s="308">
        <v>30</v>
      </c>
      <c r="J21" s="308">
        <v>30</v>
      </c>
      <c r="K21" s="308">
        <v>30</v>
      </c>
      <c r="L21" s="308">
        <v>30</v>
      </c>
      <c r="M21" s="308">
        <v>30</v>
      </c>
      <c r="N21" s="225" t="s">
        <v>1334</v>
      </c>
      <c r="P21" s="209"/>
      <c r="Q21" s="252"/>
      <c r="R21" s="252"/>
      <c r="S21" s="252"/>
      <c r="T21" s="252"/>
      <c r="U21" s="252"/>
      <c r="V21" s="304"/>
    </row>
    <row r="22" spans="1:22" ht="12.75">
      <c r="A22" s="246" t="s">
        <v>1333</v>
      </c>
      <c r="B22" s="246"/>
      <c r="C22" s="249" t="s">
        <v>1300</v>
      </c>
      <c r="E22" s="241">
        <f>+E19*E21/100</f>
        <v>43.935</v>
      </c>
      <c r="F22" s="241">
        <f>+F19*F21/100</f>
        <v>43.935</v>
      </c>
      <c r="G22" s="241">
        <f>+G19*G21/100</f>
        <v>43.935</v>
      </c>
      <c r="H22" s="241">
        <f>+H19*H21/100</f>
        <v>44.43299999999999</v>
      </c>
      <c r="I22" s="307">
        <f>+I19*I21/100</f>
        <v>44.433</v>
      </c>
      <c r="J22" s="282">
        <v>45.03</v>
      </c>
      <c r="K22" s="282">
        <v>45.26</v>
      </c>
      <c r="L22" s="282">
        <v>45.276</v>
      </c>
      <c r="M22" s="282">
        <f>M19*M21/100</f>
        <v>47.041349999999994</v>
      </c>
      <c r="N22" s="225"/>
      <c r="P22" s="209"/>
      <c r="Q22" s="252"/>
      <c r="R22" s="252"/>
      <c r="S22" s="252"/>
      <c r="T22" s="252"/>
      <c r="U22" s="252"/>
      <c r="V22" s="304"/>
    </row>
    <row r="23" spans="1:22" ht="12.75">
      <c r="A23" s="246" t="s">
        <v>1332</v>
      </c>
      <c r="B23" s="246"/>
      <c r="C23" s="249" t="s">
        <v>1300</v>
      </c>
      <c r="E23" s="241">
        <f>+E19-E22</f>
        <v>102.51499999999999</v>
      </c>
      <c r="F23" s="241">
        <f>+F19-F22</f>
        <v>102.51499999999999</v>
      </c>
      <c r="G23" s="241">
        <f>+G19-G22</f>
        <v>102.51499999999999</v>
      </c>
      <c r="H23" s="241">
        <f>+H19-H22</f>
        <v>103.67699999999999</v>
      </c>
      <c r="I23" s="282">
        <f>+I19-I22</f>
        <v>103.67700000000002</v>
      </c>
      <c r="J23" s="282">
        <v>105.06</v>
      </c>
      <c r="K23" s="282">
        <v>105.62</v>
      </c>
      <c r="L23" s="282">
        <f>L19-L22</f>
        <v>105.64399999999998</v>
      </c>
      <c r="M23" s="282">
        <f>M19-M22</f>
        <v>109.76315</v>
      </c>
      <c r="N23" s="225"/>
      <c r="P23" s="209"/>
      <c r="Q23" s="252"/>
      <c r="R23" s="252"/>
      <c r="S23" s="252"/>
      <c r="T23" s="252"/>
      <c r="U23" s="252"/>
      <c r="V23" s="304"/>
    </row>
    <row r="24" spans="1:22" ht="12.75">
      <c r="A24" s="246" t="s">
        <v>1331</v>
      </c>
      <c r="B24" s="246"/>
      <c r="C24" s="249" t="s">
        <v>1300</v>
      </c>
      <c r="E24" s="241"/>
      <c r="F24" s="241"/>
      <c r="G24" s="241"/>
      <c r="H24" s="241"/>
      <c r="I24" s="241"/>
      <c r="J24" s="241"/>
      <c r="K24" s="241"/>
      <c r="L24" s="241"/>
      <c r="M24" s="241"/>
      <c r="N24" s="225"/>
      <c r="P24" s="209"/>
      <c r="Q24" s="252"/>
      <c r="R24" s="252"/>
      <c r="S24" s="252"/>
      <c r="T24" s="252"/>
      <c r="U24" s="252"/>
      <c r="V24" s="304"/>
    </row>
    <row r="25" spans="1:22" ht="12.75">
      <c r="A25" s="246" t="s">
        <v>1330</v>
      </c>
      <c r="B25" s="246"/>
      <c r="C25" s="249" t="s">
        <v>1284</v>
      </c>
      <c r="E25" s="264">
        <v>5.03</v>
      </c>
      <c r="F25" s="264">
        <f>+'[3]7G'!P49</f>
        <v>5.053750700662716</v>
      </c>
      <c r="G25" s="264">
        <v>5.052</v>
      </c>
      <c r="H25" s="264">
        <v>5.059</v>
      </c>
      <c r="I25" s="295">
        <v>5.059</v>
      </c>
      <c r="J25" s="295">
        <v>5.06</v>
      </c>
      <c r="K25" s="295">
        <v>5.06</v>
      </c>
      <c r="L25" s="295">
        <v>5.06</v>
      </c>
      <c r="M25" s="295">
        <v>5.06</v>
      </c>
      <c r="N25" s="301"/>
      <c r="O25" s="90">
        <f>6.98/146.45</f>
        <v>0.04766131785592353</v>
      </c>
      <c r="P25" s="209"/>
      <c r="Q25" s="304"/>
      <c r="R25" s="252"/>
      <c r="S25" s="252"/>
      <c r="T25" s="252"/>
      <c r="U25" s="252"/>
      <c r="V25" s="252"/>
    </row>
    <row r="26" spans="1:22" ht="12.75">
      <c r="A26" s="246" t="s">
        <v>1329</v>
      </c>
      <c r="B26" s="246"/>
      <c r="C26" s="249" t="s">
        <v>1284</v>
      </c>
      <c r="E26" s="306">
        <v>0.1125</v>
      </c>
      <c r="F26" s="306">
        <v>0.1315</v>
      </c>
      <c r="G26" s="306">
        <v>0.1336</v>
      </c>
      <c r="H26" s="306">
        <v>0.1336</v>
      </c>
      <c r="I26" s="305">
        <v>0.1336</v>
      </c>
      <c r="J26" s="305">
        <v>0.1336</v>
      </c>
      <c r="K26" s="305">
        <v>0.1336</v>
      </c>
      <c r="L26" s="305">
        <v>0.1336</v>
      </c>
      <c r="M26" s="305">
        <v>0.1336</v>
      </c>
      <c r="N26" s="250"/>
      <c r="P26" s="209"/>
      <c r="Q26" s="304"/>
      <c r="R26" s="259"/>
      <c r="S26" s="259"/>
      <c r="T26" s="259"/>
      <c r="U26" s="259"/>
      <c r="V26" s="259"/>
    </row>
    <row r="27" spans="1:22" ht="12.75">
      <c r="A27" s="246" t="s">
        <v>1321</v>
      </c>
      <c r="B27" s="246"/>
      <c r="C27" s="249" t="s">
        <v>1284</v>
      </c>
      <c r="E27" s="303">
        <v>23.481</v>
      </c>
      <c r="F27" s="303">
        <v>23.481</v>
      </c>
      <c r="G27" s="303">
        <v>23.481</v>
      </c>
      <c r="H27" s="303">
        <v>23.481</v>
      </c>
      <c r="I27" s="302">
        <v>23.481</v>
      </c>
      <c r="J27" s="302">
        <v>23.481</v>
      </c>
      <c r="K27" s="302">
        <v>23.481</v>
      </c>
      <c r="L27" s="302">
        <v>15.5</v>
      </c>
      <c r="M27" s="302">
        <v>23.481</v>
      </c>
      <c r="N27" s="301"/>
      <c r="P27" s="209"/>
      <c r="Q27" s="209"/>
      <c r="R27" s="240"/>
      <c r="S27" s="240"/>
      <c r="T27" s="240"/>
      <c r="U27" s="240"/>
      <c r="V27" s="240"/>
    </row>
    <row r="28" spans="1:22" ht="12.75">
      <c r="A28" s="246" t="s">
        <v>1328</v>
      </c>
      <c r="B28" s="246"/>
      <c r="C28" s="249" t="s">
        <v>1284</v>
      </c>
      <c r="E28" s="245">
        <v>12.25</v>
      </c>
      <c r="F28" s="245">
        <v>14.75</v>
      </c>
      <c r="G28" s="245">
        <v>14.45</v>
      </c>
      <c r="H28" s="245">
        <v>14.75</v>
      </c>
      <c r="I28" s="300">
        <v>13.5</v>
      </c>
      <c r="J28" s="300">
        <v>13.5</v>
      </c>
      <c r="K28" s="300">
        <v>13.5</v>
      </c>
      <c r="L28" s="300">
        <v>12.75</v>
      </c>
      <c r="M28" s="300">
        <v>12.75</v>
      </c>
      <c r="N28" s="250" t="s">
        <v>1327</v>
      </c>
      <c r="P28" s="209"/>
      <c r="Q28" s="209"/>
      <c r="R28" s="240"/>
      <c r="S28" s="240"/>
      <c r="T28" s="240"/>
      <c r="U28" s="240"/>
      <c r="V28" s="240"/>
    </row>
    <row r="29" spans="1:22" ht="12.75">
      <c r="A29" s="246"/>
      <c r="B29" s="246"/>
      <c r="C29" s="249"/>
      <c r="E29" s="269"/>
      <c r="F29" s="269"/>
      <c r="G29" s="269"/>
      <c r="H29" s="269"/>
      <c r="I29" s="269"/>
      <c r="J29" s="269"/>
      <c r="K29" s="269"/>
      <c r="L29" s="269"/>
      <c r="M29" s="269"/>
      <c r="N29" s="250"/>
      <c r="P29" s="209"/>
      <c r="Q29" s="209"/>
      <c r="R29" s="235"/>
      <c r="S29" s="235"/>
      <c r="T29" s="235"/>
      <c r="U29" s="235"/>
      <c r="V29" s="235"/>
    </row>
    <row r="30" spans="1:22" ht="12.75">
      <c r="A30" s="299" t="s">
        <v>1326</v>
      </c>
      <c r="B30" s="246"/>
      <c r="C30" s="249"/>
      <c r="E30" s="269"/>
      <c r="F30" s="269"/>
      <c r="G30" s="269"/>
      <c r="H30" s="269"/>
      <c r="I30" s="269"/>
      <c r="J30" s="269"/>
      <c r="K30" s="269"/>
      <c r="L30" s="269"/>
      <c r="M30" s="269"/>
      <c r="N30" s="250"/>
      <c r="P30" s="209"/>
      <c r="Q30" s="209"/>
      <c r="R30" s="235"/>
      <c r="S30" s="235"/>
      <c r="T30" s="235"/>
      <c r="U30" s="235"/>
      <c r="V30" s="235"/>
    </row>
    <row r="31" spans="1:22" ht="12.75">
      <c r="A31" s="246"/>
      <c r="B31" s="246"/>
      <c r="C31" s="249"/>
      <c r="E31" s="269"/>
      <c r="F31" s="269"/>
      <c r="G31" s="269"/>
      <c r="H31" s="269"/>
      <c r="I31" s="269"/>
      <c r="J31" s="269"/>
      <c r="K31" s="269"/>
      <c r="L31" s="269"/>
      <c r="M31" s="269"/>
      <c r="N31" s="250"/>
      <c r="P31" s="209"/>
      <c r="Q31" s="209"/>
      <c r="R31" s="235">
        <f>+((E14*E15*241.995)/10000)*$B45/E5</f>
        <v>4.1262933434267035</v>
      </c>
      <c r="S31" s="235"/>
      <c r="T31" s="235"/>
      <c r="U31" s="235"/>
      <c r="V31" s="235"/>
    </row>
    <row r="32" spans="1:22" ht="12.75">
      <c r="A32" s="246" t="s">
        <v>1325</v>
      </c>
      <c r="B32" s="246"/>
      <c r="C32" s="249" t="s">
        <v>1324</v>
      </c>
      <c r="E32" s="298">
        <f aca="true" t="shared" si="1" ref="E32:M32">ROUND((E14*E15)/(1-E12/100)/10,2)</f>
        <v>217.12</v>
      </c>
      <c r="F32" s="298">
        <f t="shared" si="1"/>
        <v>252.67</v>
      </c>
      <c r="G32" s="298">
        <f t="shared" si="1"/>
        <v>280.06</v>
      </c>
      <c r="H32" s="298">
        <f t="shared" si="1"/>
        <v>296.2</v>
      </c>
      <c r="I32" s="297">
        <f t="shared" si="1"/>
        <v>293.3</v>
      </c>
      <c r="J32" s="297">
        <f t="shared" si="1"/>
        <v>285.48</v>
      </c>
      <c r="K32" s="290">
        <f t="shared" si="1"/>
        <v>322.25</v>
      </c>
      <c r="L32" s="290">
        <v>256.95</v>
      </c>
      <c r="M32" s="290">
        <f t="shared" si="1"/>
        <v>200.07</v>
      </c>
      <c r="N32" s="250"/>
      <c r="P32" s="257"/>
      <c r="Q32" s="209"/>
      <c r="R32" s="235"/>
      <c r="S32" s="235"/>
      <c r="T32" s="235"/>
      <c r="U32" s="235"/>
      <c r="V32" s="235"/>
    </row>
    <row r="33" spans="1:22" ht="12.75">
      <c r="A33" s="246"/>
      <c r="B33" s="246"/>
      <c r="C33" s="249"/>
      <c r="E33" s="269"/>
      <c r="F33" s="269"/>
      <c r="G33" s="269"/>
      <c r="H33" s="269"/>
      <c r="I33" s="269"/>
      <c r="J33" s="269"/>
      <c r="K33" s="269"/>
      <c r="L33" s="269"/>
      <c r="M33" s="269"/>
      <c r="N33" s="250"/>
      <c r="P33" s="209"/>
      <c r="Q33" s="209"/>
      <c r="R33" s="235"/>
      <c r="S33" s="235"/>
      <c r="T33" s="235"/>
      <c r="U33" s="235"/>
      <c r="V33" s="235"/>
    </row>
    <row r="34" spans="1:22" ht="12.75">
      <c r="A34" s="279" t="s">
        <v>1323</v>
      </c>
      <c r="B34" s="246"/>
      <c r="C34" s="249"/>
      <c r="E34" s="269"/>
      <c r="F34" s="269"/>
      <c r="G34" s="269"/>
      <c r="H34" s="269"/>
      <c r="I34" s="269"/>
      <c r="J34" s="269"/>
      <c r="K34" s="269"/>
      <c r="L34" s="269"/>
      <c r="M34" s="269"/>
      <c r="N34" s="250"/>
      <c r="P34" s="209"/>
      <c r="Q34" s="209"/>
      <c r="R34" s="235"/>
      <c r="S34" s="235"/>
      <c r="T34" s="235"/>
      <c r="U34" s="235"/>
      <c r="V34" s="235"/>
    </row>
    <row r="35" spans="1:22" ht="12.75">
      <c r="A35" s="247" t="s">
        <v>1283</v>
      </c>
      <c r="B35" s="246"/>
      <c r="C35" s="249" t="s">
        <v>1300</v>
      </c>
      <c r="E35" s="264">
        <v>6.97</v>
      </c>
      <c r="F35" s="241">
        <v>5.02</v>
      </c>
      <c r="G35" s="241">
        <v>0</v>
      </c>
      <c r="H35" s="241">
        <v>0.33</v>
      </c>
      <c r="I35" s="282">
        <v>0.27</v>
      </c>
      <c r="J35" s="282">
        <v>0.33</v>
      </c>
      <c r="K35" s="282">
        <v>0.38</v>
      </c>
      <c r="L35" s="282">
        <v>0.37</v>
      </c>
      <c r="M35" s="282">
        <f>M79</f>
        <v>1.88</v>
      </c>
      <c r="N35" s="250"/>
      <c r="P35" s="209"/>
      <c r="Q35" s="209"/>
      <c r="R35" s="240"/>
      <c r="S35" s="240"/>
      <c r="T35" s="240"/>
      <c r="U35" s="240"/>
      <c r="V35" s="240"/>
    </row>
    <row r="36" spans="1:22" ht="12.75">
      <c r="A36" s="247" t="s">
        <v>1322</v>
      </c>
      <c r="B36" s="246"/>
      <c r="C36" s="249" t="s">
        <v>1300</v>
      </c>
      <c r="E36" s="241">
        <f>+E69</f>
        <v>0</v>
      </c>
      <c r="F36" s="241">
        <f>+F69</f>
        <v>0</v>
      </c>
      <c r="G36" s="241">
        <f>+G69</f>
        <v>0</v>
      </c>
      <c r="H36" s="241">
        <f>+H69</f>
        <v>0</v>
      </c>
      <c r="I36" s="282">
        <f>+I69</f>
        <v>0</v>
      </c>
      <c r="J36" s="282">
        <v>0</v>
      </c>
      <c r="K36" s="282">
        <v>0</v>
      </c>
      <c r="L36" s="282">
        <v>0</v>
      </c>
      <c r="M36" s="282">
        <v>0</v>
      </c>
      <c r="N36" s="250"/>
      <c r="P36" s="296"/>
      <c r="Q36" s="209"/>
      <c r="R36" s="240"/>
      <c r="S36" s="240"/>
      <c r="T36" s="240"/>
      <c r="U36" s="240"/>
      <c r="V36" s="240"/>
    </row>
    <row r="37" spans="1:22" ht="12.75">
      <c r="A37" s="247" t="s">
        <v>1321</v>
      </c>
      <c r="B37" s="246"/>
      <c r="C37" s="249" t="s">
        <v>1300</v>
      </c>
      <c r="E37" s="266">
        <f aca="true" t="shared" si="2" ref="E37:J37">+E22*E27/100</f>
        <v>10.31637735</v>
      </c>
      <c r="F37" s="268">
        <f t="shared" si="2"/>
        <v>10.31637735</v>
      </c>
      <c r="G37" s="268">
        <f t="shared" si="2"/>
        <v>10.31637735</v>
      </c>
      <c r="H37" s="268">
        <f t="shared" si="2"/>
        <v>10.43331273</v>
      </c>
      <c r="I37" s="294">
        <f t="shared" si="2"/>
        <v>10.43331273</v>
      </c>
      <c r="J37" s="294">
        <f t="shared" si="2"/>
        <v>10.573494300000002</v>
      </c>
      <c r="K37" s="294">
        <v>7.02</v>
      </c>
      <c r="L37" s="294">
        <f>L22*L27/100</f>
        <v>7.01778</v>
      </c>
      <c r="M37" s="294">
        <f>M22*M27/100</f>
        <v>11.0457793935</v>
      </c>
      <c r="N37" s="250"/>
      <c r="P37" s="209"/>
      <c r="Q37" s="209"/>
      <c r="R37" s="240"/>
      <c r="S37" s="263"/>
      <c r="T37" s="263"/>
      <c r="U37" s="263"/>
      <c r="V37" s="263"/>
    </row>
    <row r="38" spans="1:22" ht="12.75">
      <c r="A38" s="247" t="s">
        <v>1308</v>
      </c>
      <c r="B38" s="246"/>
      <c r="C38" s="249" t="s">
        <v>1300</v>
      </c>
      <c r="E38" s="264">
        <f>+E50</f>
        <v>2.4803239872617406</v>
      </c>
      <c r="F38" s="264">
        <f>+F50</f>
        <v>3.2317055269756514</v>
      </c>
      <c r="G38" s="264">
        <f>+G50</f>
        <v>3.2591005645833335</v>
      </c>
      <c r="H38" s="264">
        <f>+H50</f>
        <v>3.2028525624092263</v>
      </c>
      <c r="I38" s="295">
        <v>3.52</v>
      </c>
      <c r="J38" s="295">
        <f>+J50</f>
        <v>3.3831</v>
      </c>
      <c r="K38" s="295">
        <f>+K50</f>
        <v>3.4681989375</v>
      </c>
      <c r="L38" s="295">
        <f>+L50</f>
        <v>2.71</v>
      </c>
      <c r="M38" s="295">
        <f>+M50</f>
        <v>3.06</v>
      </c>
      <c r="N38" s="250"/>
      <c r="P38" s="252"/>
      <c r="Q38" s="209"/>
      <c r="R38" s="240"/>
      <c r="S38" s="240"/>
      <c r="T38" s="240"/>
      <c r="U38" s="240"/>
      <c r="V38" s="240"/>
    </row>
    <row r="39" spans="1:22" ht="25.5">
      <c r="A39" s="247" t="s">
        <v>1320</v>
      </c>
      <c r="B39" s="246"/>
      <c r="C39" s="249" t="s">
        <v>1300</v>
      </c>
      <c r="E39" s="266">
        <f>0.2559*32.5</f>
        <v>8.31675</v>
      </c>
      <c r="F39" s="268">
        <f>0.2705*32.5</f>
        <v>8.79125</v>
      </c>
      <c r="G39" s="268">
        <f>0.2861*32.5</f>
        <v>9.298250000000001</v>
      </c>
      <c r="H39" s="268">
        <f>0.2861*32.5*1.0572</f>
        <v>9.8301099</v>
      </c>
      <c r="I39" s="294">
        <f>0.3343*32.5</f>
        <v>10.864749999999999</v>
      </c>
      <c r="J39" s="294">
        <f>0.357*32.5</f>
        <v>11.6025</v>
      </c>
      <c r="K39" s="294">
        <f>0.3813*32.5</f>
        <v>12.392249999999999</v>
      </c>
      <c r="L39" s="294">
        <f>0.4073*32.5</f>
        <v>13.23725</v>
      </c>
      <c r="M39" s="294">
        <f>0.435*32.5</f>
        <v>14.1375</v>
      </c>
      <c r="N39" s="250" t="s">
        <v>1319</v>
      </c>
      <c r="P39" s="209"/>
      <c r="Q39" s="209"/>
      <c r="R39" s="270"/>
      <c r="S39" s="270"/>
      <c r="T39" s="270"/>
      <c r="U39" s="270"/>
      <c r="V39" s="270"/>
    </row>
    <row r="40" spans="1:22" ht="12.75">
      <c r="A40" s="258" t="s">
        <v>1317</v>
      </c>
      <c r="B40" s="293"/>
      <c r="C40" s="292" t="s">
        <v>1300</v>
      </c>
      <c r="D40" s="198"/>
      <c r="E40" s="291">
        <f>SUM(E35:E39)</f>
        <v>28.083451337261742</v>
      </c>
      <c r="F40" s="291">
        <f>SUM(F35:F39)</f>
        <v>27.35933287697565</v>
      </c>
      <c r="G40" s="291">
        <f>SUM(G35:G39)</f>
        <v>22.873727914583334</v>
      </c>
      <c r="H40" s="291">
        <f>SUM(H35:H39)</f>
        <v>23.796275192409226</v>
      </c>
      <c r="I40" s="290">
        <f>SUM(I35:I39)</f>
        <v>25.088062729999997</v>
      </c>
      <c r="J40" s="290">
        <v>25.88</v>
      </c>
      <c r="K40" s="290">
        <f>SUM(K35:K39)</f>
        <v>23.260448937499998</v>
      </c>
      <c r="L40" s="290">
        <f>SUM(L35:L39)</f>
        <v>23.33503</v>
      </c>
      <c r="M40" s="290">
        <f>SUM(M35:M39)</f>
        <v>30.1232793935</v>
      </c>
      <c r="N40" s="250"/>
      <c r="O40" s="252"/>
      <c r="P40" s="252"/>
      <c r="Q40" s="209"/>
      <c r="R40" s="240"/>
      <c r="S40" s="240"/>
      <c r="T40" s="240"/>
      <c r="U40" s="240"/>
      <c r="V40" s="240"/>
    </row>
    <row r="41" spans="1:22" ht="12.75" hidden="1">
      <c r="A41" s="247" t="s">
        <v>1316</v>
      </c>
      <c r="B41" s="246"/>
      <c r="C41" s="249" t="s">
        <v>1300</v>
      </c>
      <c r="E41" s="241"/>
      <c r="F41" s="241"/>
      <c r="G41" s="241"/>
      <c r="H41" s="241"/>
      <c r="I41" s="282"/>
      <c r="J41" s="282"/>
      <c r="K41" s="282"/>
      <c r="L41" s="282"/>
      <c r="M41" s="282"/>
      <c r="N41" s="250"/>
      <c r="P41" s="209"/>
      <c r="Q41" s="209"/>
      <c r="R41" s="240"/>
      <c r="S41" s="240"/>
      <c r="T41" s="240"/>
      <c r="U41" s="240"/>
      <c r="V41" s="240"/>
    </row>
    <row r="42" spans="1:22" ht="28.5" customHeight="1" hidden="1">
      <c r="A42" s="1359" t="s">
        <v>1315</v>
      </c>
      <c r="B42" s="1360"/>
      <c r="C42" s="249" t="s">
        <v>1300</v>
      </c>
      <c r="E42" s="241"/>
      <c r="F42" s="241"/>
      <c r="G42" s="241"/>
      <c r="H42" s="241"/>
      <c r="I42" s="282"/>
      <c r="J42" s="282"/>
      <c r="K42" s="282"/>
      <c r="L42" s="282"/>
      <c r="M42" s="282"/>
      <c r="N42" s="225"/>
      <c r="P42" s="252"/>
      <c r="Q42" s="209"/>
      <c r="R42" s="240"/>
      <c r="S42" s="240"/>
      <c r="T42" s="240"/>
      <c r="U42" s="240"/>
      <c r="V42" s="240"/>
    </row>
    <row r="43" spans="1:22" ht="12.75">
      <c r="A43" s="279"/>
      <c r="B43" s="246"/>
      <c r="C43" s="249"/>
      <c r="E43" s="241"/>
      <c r="F43" s="241"/>
      <c r="G43" s="241"/>
      <c r="H43" s="241"/>
      <c r="I43" s="282"/>
      <c r="J43" s="282"/>
      <c r="K43" s="282"/>
      <c r="L43" s="282"/>
      <c r="M43" s="282"/>
      <c r="N43" s="250"/>
      <c r="P43" s="209"/>
      <c r="Q43" s="209"/>
      <c r="R43" s="240"/>
      <c r="S43" s="240"/>
      <c r="T43" s="240"/>
      <c r="U43" s="240"/>
      <c r="V43" s="240"/>
    </row>
    <row r="44" spans="1:22" ht="12.75">
      <c r="A44" s="279" t="s">
        <v>1314</v>
      </c>
      <c r="B44" s="246"/>
      <c r="C44" s="249"/>
      <c r="I44" s="107"/>
      <c r="J44" s="107"/>
      <c r="K44" s="107"/>
      <c r="L44" s="107"/>
      <c r="M44" s="107"/>
      <c r="N44" s="250"/>
      <c r="P44" s="283"/>
      <c r="Q44" s="209"/>
      <c r="R44" s="209"/>
      <c r="S44" s="209"/>
      <c r="T44" s="209"/>
      <c r="U44" s="209"/>
      <c r="V44" s="209"/>
    </row>
    <row r="45" spans="1:22" ht="17.25" customHeight="1">
      <c r="A45" s="289" t="s">
        <v>1313</v>
      </c>
      <c r="B45" s="246">
        <v>1</v>
      </c>
      <c r="C45" s="249" t="s">
        <v>1300</v>
      </c>
      <c r="E45" s="241">
        <f>+((E14*E15*241.995)/10000)*$B45/E5</f>
        <v>4.1262933434267035</v>
      </c>
      <c r="F45" s="241">
        <v>4.66</v>
      </c>
      <c r="G45" s="241">
        <v>5.09</v>
      </c>
      <c r="H45" s="241">
        <v>4.66</v>
      </c>
      <c r="I45" s="282">
        <v>5.91</v>
      </c>
      <c r="J45" s="282">
        <v>5.43</v>
      </c>
      <c r="K45" s="282">
        <v>5.69</v>
      </c>
      <c r="L45" s="282">
        <v>4.11</v>
      </c>
      <c r="M45" s="282">
        <f>((M14*M15*M10)/10000)*$B45/M5</f>
        <v>3.4801312411431646</v>
      </c>
      <c r="N45" s="282" t="e">
        <f>((N14*N15*N10)/10000)*$B45/N5</f>
        <v>#VALUE!</v>
      </c>
      <c r="O45" s="252"/>
      <c r="P45" s="252"/>
      <c r="Q45" s="209"/>
      <c r="R45" s="240"/>
      <c r="S45" s="240"/>
      <c r="T45" s="240"/>
      <c r="U45" s="240"/>
      <c r="V45" s="240"/>
    </row>
    <row r="46" spans="1:22" ht="24.75" customHeight="1">
      <c r="A46" s="289" t="s">
        <v>1312</v>
      </c>
      <c r="B46" s="246">
        <v>1</v>
      </c>
      <c r="C46" s="249" t="s">
        <v>1300</v>
      </c>
      <c r="E46" s="288">
        <f>+E39/12*$B46</f>
        <v>0.6930625</v>
      </c>
      <c r="F46" s="241">
        <f>+F39/12*$B46</f>
        <v>0.7326041666666666</v>
      </c>
      <c r="G46" s="241">
        <f>+G39/12*$B46</f>
        <v>0.7748541666666667</v>
      </c>
      <c r="H46" s="241">
        <f>+H39/12*$B46</f>
        <v>0.819175825</v>
      </c>
      <c r="I46" s="282">
        <f>+I39/12*$B46</f>
        <v>0.9053958333333333</v>
      </c>
      <c r="J46" s="282">
        <v>0.97</v>
      </c>
      <c r="K46" s="282">
        <f>+K39/12*$B46</f>
        <v>1.0326875</v>
      </c>
      <c r="L46" s="282">
        <f>+L39/12*$B46</f>
        <v>1.1031041666666666</v>
      </c>
      <c r="M46" s="282">
        <f>+M39/12*$B46</f>
        <v>1.1781249999999999</v>
      </c>
      <c r="N46" s="250"/>
      <c r="P46" s="283"/>
      <c r="Q46" s="209"/>
      <c r="R46" s="240"/>
      <c r="S46" s="240"/>
      <c r="T46" s="240"/>
      <c r="U46" s="240"/>
      <c r="V46" s="240"/>
    </row>
    <row r="47" spans="1:22" ht="12.75">
      <c r="A47" s="287" t="s">
        <v>1311</v>
      </c>
      <c r="B47" s="286"/>
      <c r="C47" s="226" t="s">
        <v>1300</v>
      </c>
      <c r="E47" s="285">
        <f>+E46*30%*12</f>
        <v>2.495025</v>
      </c>
      <c r="F47" s="266">
        <f>+F46*30%*12</f>
        <v>2.6373749999999996</v>
      </c>
      <c r="G47" s="266">
        <f>+G46*30%*12</f>
        <v>2.789475</v>
      </c>
      <c r="H47" s="266">
        <f>+H46*30%*12</f>
        <v>2.9490329699999998</v>
      </c>
      <c r="I47" s="284">
        <f>+I46*30%*12</f>
        <v>3.2594249999999994</v>
      </c>
      <c r="J47" s="284">
        <v>3.48</v>
      </c>
      <c r="K47" s="284">
        <f>+K46*30%*12</f>
        <v>3.717675</v>
      </c>
      <c r="L47" s="284">
        <f>+L46*30%*12</f>
        <v>3.9711749999999997</v>
      </c>
      <c r="M47" s="284">
        <f>+M46*30%*12</f>
        <v>4.241249999999999</v>
      </c>
      <c r="N47" s="250"/>
      <c r="P47" s="209"/>
      <c r="Q47" s="209"/>
      <c r="R47" s="235"/>
      <c r="S47" s="235"/>
      <c r="T47" s="235"/>
      <c r="U47" s="235"/>
      <c r="V47" s="235"/>
    </row>
    <row r="48" spans="1:22" ht="12.75">
      <c r="A48" s="247" t="s">
        <v>1310</v>
      </c>
      <c r="B48" s="246">
        <v>2</v>
      </c>
      <c r="C48" s="249" t="s">
        <v>1300</v>
      </c>
      <c r="E48" s="241">
        <f>E40/6+E45/$B45*2</f>
        <v>12.933161909730364</v>
      </c>
      <c r="F48" s="241">
        <f>+F40/6+F45/$B45*2</f>
        <v>13.879888812829275</v>
      </c>
      <c r="G48" s="241">
        <v>13.9</v>
      </c>
      <c r="H48" s="241">
        <f>+H40/6+H45/$B45*2</f>
        <v>13.286045865401539</v>
      </c>
      <c r="I48" s="282">
        <f>+I40/6+I45/$B45*2</f>
        <v>16.001343788333333</v>
      </c>
      <c r="J48" s="282">
        <v>15.18</v>
      </c>
      <c r="K48" s="282">
        <v>15.25</v>
      </c>
      <c r="L48" s="282">
        <v>12.1</v>
      </c>
      <c r="M48" s="282">
        <f>+M40/6+M45/$B45*2</f>
        <v>11.980809047869663</v>
      </c>
      <c r="N48" s="250"/>
      <c r="P48" s="283"/>
      <c r="Q48" s="209"/>
      <c r="R48" s="235"/>
      <c r="S48" s="235"/>
      <c r="T48" s="235"/>
      <c r="U48" s="235"/>
      <c r="V48" s="235"/>
    </row>
    <row r="49" spans="1:22" ht="12.75">
      <c r="A49" s="247" t="s">
        <v>1309</v>
      </c>
      <c r="B49" s="246"/>
      <c r="C49" s="249" t="s">
        <v>1300</v>
      </c>
      <c r="E49" s="241">
        <f aca="true" t="shared" si="3" ref="E49:M49">SUM(E45:E48)</f>
        <v>20.247542753157067</v>
      </c>
      <c r="F49" s="241">
        <f t="shared" si="3"/>
        <v>21.909867979495942</v>
      </c>
      <c r="G49" s="241">
        <f t="shared" si="3"/>
        <v>22.55432916666667</v>
      </c>
      <c r="H49" s="241">
        <f t="shared" si="3"/>
        <v>21.714254660401537</v>
      </c>
      <c r="I49" s="282">
        <f t="shared" si="3"/>
        <v>26.076164621666667</v>
      </c>
      <c r="J49" s="282">
        <f t="shared" si="3"/>
        <v>25.06</v>
      </c>
      <c r="K49" s="282">
        <f t="shared" si="3"/>
        <v>25.6903625</v>
      </c>
      <c r="L49" s="282">
        <f t="shared" si="3"/>
        <v>21.284279166666664</v>
      </c>
      <c r="M49" s="282">
        <f t="shared" si="3"/>
        <v>20.880315289012827</v>
      </c>
      <c r="N49" s="250"/>
      <c r="P49" s="209"/>
      <c r="Q49" s="209"/>
      <c r="R49" s="240"/>
      <c r="S49" s="240"/>
      <c r="T49" s="240"/>
      <c r="U49" s="240"/>
      <c r="V49" s="240"/>
    </row>
    <row r="50" spans="1:22" ht="12.75">
      <c r="A50" s="247" t="s">
        <v>1308</v>
      </c>
      <c r="B50" s="246"/>
      <c r="C50" s="249" t="s">
        <v>1300</v>
      </c>
      <c r="E50" s="241">
        <f aca="true" t="shared" si="4" ref="E50:K50">+E49*E28/100</f>
        <v>2.4803239872617406</v>
      </c>
      <c r="F50" s="241">
        <f t="shared" si="4"/>
        <v>3.2317055269756514</v>
      </c>
      <c r="G50" s="241">
        <f t="shared" si="4"/>
        <v>3.2591005645833335</v>
      </c>
      <c r="H50" s="241">
        <f t="shared" si="4"/>
        <v>3.2028525624092263</v>
      </c>
      <c r="I50" s="282">
        <f t="shared" si="4"/>
        <v>3.5202822239250002</v>
      </c>
      <c r="J50" s="282">
        <f t="shared" si="4"/>
        <v>3.3831</v>
      </c>
      <c r="K50" s="282">
        <f t="shared" si="4"/>
        <v>3.4681989375</v>
      </c>
      <c r="L50" s="282">
        <v>2.71</v>
      </c>
      <c r="M50" s="282">
        <v>3.06</v>
      </c>
      <c r="N50" s="250"/>
      <c r="O50" s="281"/>
      <c r="P50" s="209"/>
      <c r="Q50" s="209"/>
      <c r="R50" s="255"/>
      <c r="S50" s="255"/>
      <c r="T50" s="263"/>
      <c r="U50" s="263"/>
      <c r="V50" s="263"/>
    </row>
    <row r="51" spans="1:22" ht="12.75">
      <c r="A51" s="279" t="str">
        <f>+A7</f>
        <v>PERIODS</v>
      </c>
      <c r="B51" s="246"/>
      <c r="C51" s="249"/>
      <c r="E51" s="269"/>
      <c r="F51" s="269"/>
      <c r="G51" s="269"/>
      <c r="H51" s="269"/>
      <c r="I51" s="280"/>
      <c r="J51" s="280"/>
      <c r="K51" s="280"/>
      <c r="L51" s="280"/>
      <c r="M51" s="280"/>
      <c r="N51" s="250"/>
      <c r="P51" s="209"/>
      <c r="Q51" s="209"/>
      <c r="R51" s="235"/>
      <c r="S51" s="235"/>
      <c r="T51" s="235"/>
      <c r="U51" s="235"/>
      <c r="V51" s="235"/>
    </row>
    <row r="52" spans="1:22" ht="12.75">
      <c r="A52" s="279" t="s">
        <v>1307</v>
      </c>
      <c r="B52" s="246"/>
      <c r="C52" s="249"/>
      <c r="E52" s="278" t="s">
        <v>1306</v>
      </c>
      <c r="F52" s="278" t="s">
        <v>1305</v>
      </c>
      <c r="G52" s="278"/>
      <c r="H52" s="278"/>
      <c r="I52" s="278"/>
      <c r="J52" s="278"/>
      <c r="K52" s="278"/>
      <c r="L52" s="278"/>
      <c r="M52" s="278"/>
      <c r="N52" s="250"/>
      <c r="O52" s="272"/>
      <c r="P52" s="271"/>
      <c r="Q52" s="209"/>
      <c r="R52" s="277"/>
      <c r="S52" s="277"/>
      <c r="T52" s="277"/>
      <c r="U52" s="277"/>
      <c r="V52" s="277"/>
    </row>
    <row r="53" spans="1:22" ht="12.75">
      <c r="A53" s="247" t="s">
        <v>1304</v>
      </c>
      <c r="B53" s="246"/>
      <c r="C53" s="249" t="s">
        <v>1300</v>
      </c>
      <c r="E53" s="245">
        <v>146.45</v>
      </c>
      <c r="F53" s="245">
        <f>+E59</f>
        <v>146.45</v>
      </c>
      <c r="G53" s="245">
        <v>146.45</v>
      </c>
      <c r="H53" s="245">
        <v>146.45</v>
      </c>
      <c r="I53" s="245">
        <v>146.45</v>
      </c>
      <c r="J53" s="245">
        <v>149.77</v>
      </c>
      <c r="K53" s="245">
        <v>150.37</v>
      </c>
      <c r="L53" s="245">
        <v>150.92</v>
      </c>
      <c r="M53" s="245">
        <v>150.92</v>
      </c>
      <c r="N53" s="250"/>
      <c r="P53" s="209"/>
      <c r="Q53" s="209"/>
      <c r="R53" s="244"/>
      <c r="S53" s="244"/>
      <c r="T53" s="244"/>
      <c r="U53" s="244"/>
      <c r="V53" s="244"/>
    </row>
    <row r="54" spans="1:22" ht="51" hidden="1">
      <c r="A54" s="276" t="s">
        <v>1303</v>
      </c>
      <c r="B54" s="246"/>
      <c r="C54" s="249" t="s">
        <v>1300</v>
      </c>
      <c r="E54" s="269"/>
      <c r="F54" s="269"/>
      <c r="G54" s="269"/>
      <c r="H54" s="269"/>
      <c r="I54" s="269"/>
      <c r="J54" s="269"/>
      <c r="K54" s="269"/>
      <c r="L54" s="269"/>
      <c r="M54" s="269"/>
      <c r="N54" s="250"/>
      <c r="P54" s="209"/>
      <c r="Q54" s="209"/>
      <c r="R54" s="244"/>
      <c r="S54" s="244"/>
      <c r="T54" s="244"/>
      <c r="U54" s="235"/>
      <c r="V54" s="235"/>
    </row>
    <row r="55" spans="1:22" ht="12.75" hidden="1">
      <c r="A55" s="247" t="s">
        <v>1302</v>
      </c>
      <c r="B55" s="246"/>
      <c r="C55" s="249" t="s">
        <v>1300</v>
      </c>
      <c r="E55" s="245"/>
      <c r="F55" s="245"/>
      <c r="G55" s="245"/>
      <c r="H55" s="245"/>
      <c r="I55" s="245"/>
      <c r="J55" s="245"/>
      <c r="K55" s="245"/>
      <c r="L55" s="245"/>
      <c r="M55" s="245"/>
      <c r="N55" s="250"/>
      <c r="P55" s="209"/>
      <c r="Q55" s="209"/>
      <c r="R55" s="244"/>
      <c r="S55" s="244"/>
      <c r="T55" s="244"/>
      <c r="U55" s="244"/>
      <c r="V55" s="244"/>
    </row>
    <row r="56" spans="1:22" ht="12.75" hidden="1">
      <c r="A56" s="247"/>
      <c r="B56" s="246"/>
      <c r="C56" s="249" t="s">
        <v>1300</v>
      </c>
      <c r="E56" s="269"/>
      <c r="F56" s="269"/>
      <c r="G56" s="269"/>
      <c r="H56" s="269"/>
      <c r="I56" s="269"/>
      <c r="J56" s="269"/>
      <c r="K56" s="269"/>
      <c r="L56" s="269"/>
      <c r="M56" s="269"/>
      <c r="N56" s="250"/>
      <c r="P56" s="209"/>
      <c r="Q56" s="209"/>
      <c r="R56" s="244"/>
      <c r="S56" s="244"/>
      <c r="T56" s="244"/>
      <c r="U56" s="235"/>
      <c r="V56" s="235"/>
    </row>
    <row r="57" spans="1:22" ht="63.75" hidden="1">
      <c r="A57" s="276" t="s">
        <v>1301</v>
      </c>
      <c r="B57" s="246"/>
      <c r="C57" s="249" t="s">
        <v>1300</v>
      </c>
      <c r="E57" s="241"/>
      <c r="F57" s="241"/>
      <c r="G57" s="241"/>
      <c r="H57" s="241"/>
      <c r="I57" s="241"/>
      <c r="J57" s="241"/>
      <c r="K57" s="241"/>
      <c r="L57" s="241"/>
      <c r="M57" s="241"/>
      <c r="N57" s="250"/>
      <c r="P57" s="209"/>
      <c r="Q57" s="209"/>
      <c r="R57" s="240"/>
      <c r="S57" s="240"/>
      <c r="T57" s="240"/>
      <c r="U57" s="240"/>
      <c r="V57" s="240"/>
    </row>
    <row r="58" spans="1:22" ht="12.75">
      <c r="A58" s="275" t="s">
        <v>1299</v>
      </c>
      <c r="B58" s="274"/>
      <c r="C58" s="273"/>
      <c r="E58" s="262">
        <v>0</v>
      </c>
      <c r="F58" s="262">
        <v>0</v>
      </c>
      <c r="G58" s="262">
        <v>0</v>
      </c>
      <c r="H58" s="262">
        <v>3.32</v>
      </c>
      <c r="I58" s="262">
        <v>3.32</v>
      </c>
      <c r="J58" s="262">
        <v>0.6</v>
      </c>
      <c r="K58" s="262">
        <v>0.51</v>
      </c>
      <c r="L58" s="262">
        <v>0</v>
      </c>
      <c r="M58" s="262">
        <v>11.769</v>
      </c>
      <c r="N58" s="250"/>
      <c r="O58" s="272"/>
      <c r="P58" s="271"/>
      <c r="Q58" s="209"/>
      <c r="R58" s="240"/>
      <c r="S58" s="240"/>
      <c r="T58" s="240"/>
      <c r="U58" s="240"/>
      <c r="V58" s="240"/>
    </row>
    <row r="59" spans="1:22" ht="12.75">
      <c r="A59" s="247" t="s">
        <v>1298</v>
      </c>
      <c r="B59" s="246"/>
      <c r="C59" s="249"/>
      <c r="E59" s="241">
        <f aca="true" t="shared" si="5" ref="E59:M59">+E58+E53</f>
        <v>146.45</v>
      </c>
      <c r="F59" s="241">
        <f t="shared" si="5"/>
        <v>146.45</v>
      </c>
      <c r="G59" s="241">
        <f t="shared" si="5"/>
        <v>146.45</v>
      </c>
      <c r="H59" s="241">
        <f t="shared" si="5"/>
        <v>149.76999999999998</v>
      </c>
      <c r="I59" s="241">
        <f t="shared" si="5"/>
        <v>149.76999999999998</v>
      </c>
      <c r="J59" s="241">
        <f t="shared" si="5"/>
        <v>150.37</v>
      </c>
      <c r="K59" s="241">
        <f t="shared" si="5"/>
        <v>150.88</v>
      </c>
      <c r="L59" s="241">
        <f t="shared" si="5"/>
        <v>150.92</v>
      </c>
      <c r="M59" s="241">
        <f t="shared" si="5"/>
        <v>162.689</v>
      </c>
      <c r="N59" s="250"/>
      <c r="P59" s="271"/>
      <c r="Q59" s="209"/>
      <c r="R59" s="240"/>
      <c r="S59" s="240"/>
      <c r="T59" s="240"/>
      <c r="U59" s="240"/>
      <c r="V59" s="240"/>
    </row>
    <row r="60" spans="1:22" ht="12.75">
      <c r="A60" s="247" t="s">
        <v>1297</v>
      </c>
      <c r="B60" s="246"/>
      <c r="C60" s="249"/>
      <c r="E60" s="241">
        <f aca="true" t="shared" si="6" ref="E60:M60">+(E53+E59)/2</f>
        <v>146.45</v>
      </c>
      <c r="F60" s="241">
        <f t="shared" si="6"/>
        <v>146.45</v>
      </c>
      <c r="G60" s="241">
        <f t="shared" si="6"/>
        <v>146.45</v>
      </c>
      <c r="H60" s="241">
        <f t="shared" si="6"/>
        <v>148.10999999999999</v>
      </c>
      <c r="I60" s="241">
        <f t="shared" si="6"/>
        <v>148.10999999999999</v>
      </c>
      <c r="J60" s="241">
        <f t="shared" si="6"/>
        <v>150.07</v>
      </c>
      <c r="K60" s="241">
        <f t="shared" si="6"/>
        <v>150.625</v>
      </c>
      <c r="L60" s="241">
        <f t="shared" si="6"/>
        <v>150.92</v>
      </c>
      <c r="M60" s="241">
        <f t="shared" si="6"/>
        <v>156.8045</v>
      </c>
      <c r="N60" s="250"/>
      <c r="P60" s="209"/>
      <c r="Q60" s="209"/>
      <c r="R60" s="270"/>
      <c r="S60" s="270"/>
      <c r="T60" s="270"/>
      <c r="U60" s="270"/>
      <c r="V60" s="270"/>
    </row>
    <row r="61" spans="1:22" ht="12.75">
      <c r="A61" s="258" t="s">
        <v>1296</v>
      </c>
      <c r="B61" s="246"/>
      <c r="C61" s="249"/>
      <c r="E61" s="269"/>
      <c r="F61" s="269"/>
      <c r="G61" s="269"/>
      <c r="H61" s="269"/>
      <c r="I61" s="269"/>
      <c r="J61" s="269"/>
      <c r="K61" s="269"/>
      <c r="L61" s="269"/>
      <c r="M61" s="269"/>
      <c r="N61" s="250"/>
      <c r="P61" s="209"/>
      <c r="Q61" s="209"/>
      <c r="R61" s="235"/>
      <c r="S61" s="235"/>
      <c r="T61" s="235"/>
      <c r="U61" s="235"/>
      <c r="V61" s="235"/>
    </row>
    <row r="62" spans="1:22" ht="12.75">
      <c r="A62" s="247" t="s">
        <v>1295</v>
      </c>
      <c r="B62" s="246"/>
      <c r="C62" s="249"/>
      <c r="E62" s="268">
        <f aca="true" t="shared" si="7" ref="E62:M62">E60*0.7</f>
        <v>102.51499999999999</v>
      </c>
      <c r="F62" s="268">
        <f t="shared" si="7"/>
        <v>102.51499999999999</v>
      </c>
      <c r="G62" s="268">
        <f t="shared" si="7"/>
        <v>102.51499999999999</v>
      </c>
      <c r="H62" s="268">
        <f t="shared" si="7"/>
        <v>103.67699999999998</v>
      </c>
      <c r="I62" s="268">
        <f t="shared" si="7"/>
        <v>103.67699999999998</v>
      </c>
      <c r="J62" s="268">
        <f t="shared" si="7"/>
        <v>105.04899999999999</v>
      </c>
      <c r="K62" s="268">
        <f t="shared" si="7"/>
        <v>105.4375</v>
      </c>
      <c r="L62" s="268">
        <f t="shared" si="7"/>
        <v>105.64399999999999</v>
      </c>
      <c r="M62" s="268">
        <f t="shared" si="7"/>
        <v>109.76314999999998</v>
      </c>
      <c r="N62" s="250"/>
      <c r="O62" s="263"/>
      <c r="P62" s="209"/>
      <c r="Q62" s="263"/>
      <c r="R62" s="263"/>
      <c r="S62" s="263"/>
      <c r="T62" s="263"/>
      <c r="U62" s="263"/>
      <c r="V62" s="263"/>
    </row>
    <row r="63" spans="1:22" ht="67.5" customHeight="1">
      <c r="A63" s="1359" t="s">
        <v>1294</v>
      </c>
      <c r="B63" s="1360"/>
      <c r="C63" s="249"/>
      <c r="E63" s="267">
        <f aca="true" t="shared" si="8" ref="E63:K63">+E62</f>
        <v>102.51499999999999</v>
      </c>
      <c r="F63" s="266">
        <f t="shared" si="8"/>
        <v>102.51499999999999</v>
      </c>
      <c r="G63" s="266">
        <f t="shared" si="8"/>
        <v>102.51499999999999</v>
      </c>
      <c r="H63" s="266">
        <f t="shared" si="8"/>
        <v>103.67699999999998</v>
      </c>
      <c r="I63" s="266">
        <f t="shared" si="8"/>
        <v>103.67699999999998</v>
      </c>
      <c r="J63" s="266">
        <f t="shared" si="8"/>
        <v>105.04899999999999</v>
      </c>
      <c r="K63" s="266">
        <f t="shared" si="8"/>
        <v>105.4375</v>
      </c>
      <c r="L63" s="266">
        <v>105.64</v>
      </c>
      <c r="M63" s="266">
        <f>+M62</f>
        <v>109.76314999999998</v>
      </c>
      <c r="N63" s="250" t="s">
        <v>1293</v>
      </c>
      <c r="O63" s="255"/>
      <c r="P63" s="255"/>
      <c r="Q63" s="255"/>
      <c r="R63" s="252"/>
      <c r="S63" s="252"/>
      <c r="T63" s="252"/>
      <c r="U63" s="255"/>
      <c r="V63" s="255"/>
    </row>
    <row r="64" spans="1:22" ht="25.5">
      <c r="A64" s="247" t="s">
        <v>1292</v>
      </c>
      <c r="B64" s="246"/>
      <c r="C64" s="249"/>
      <c r="E64" s="265">
        <v>0</v>
      </c>
      <c r="F64" s="265">
        <f>+F62-F63</f>
        <v>0</v>
      </c>
      <c r="G64" s="265"/>
      <c r="H64" s="265"/>
      <c r="I64" s="265"/>
      <c r="J64" s="265"/>
      <c r="K64" s="265"/>
      <c r="L64" s="265"/>
      <c r="M64" s="265"/>
      <c r="N64" s="250" t="s">
        <v>1291</v>
      </c>
      <c r="O64" s="252"/>
      <c r="P64" s="252"/>
      <c r="Q64" s="252"/>
      <c r="R64" s="252"/>
      <c r="S64" s="252"/>
      <c r="T64" s="252"/>
      <c r="U64" s="252"/>
      <c r="V64" s="252"/>
    </row>
    <row r="65" spans="1:22" ht="12.75">
      <c r="A65" s="247" t="s">
        <v>1290</v>
      </c>
      <c r="B65" s="246"/>
      <c r="C65" s="249"/>
      <c r="E65" s="265"/>
      <c r="F65" s="265"/>
      <c r="G65" s="265"/>
      <c r="H65" s="265"/>
      <c r="I65" s="265"/>
      <c r="J65" s="265"/>
      <c r="K65" s="265"/>
      <c r="L65" s="265">
        <v>0</v>
      </c>
      <c r="M65" s="265">
        <v>0</v>
      </c>
      <c r="N65" s="250"/>
      <c r="O65" s="252"/>
      <c r="P65" s="252"/>
      <c r="Q65" s="252"/>
      <c r="R65" s="252"/>
      <c r="S65" s="252"/>
      <c r="T65" s="252"/>
      <c r="U65" s="252"/>
      <c r="V65" s="252"/>
    </row>
    <row r="66" spans="1:22" ht="12.75">
      <c r="A66" s="247" t="s">
        <v>1289</v>
      </c>
      <c r="B66" s="246"/>
      <c r="C66" s="249"/>
      <c r="E66" s="264">
        <v>0</v>
      </c>
      <c r="F66" s="241">
        <f>+F64</f>
        <v>0</v>
      </c>
      <c r="G66" s="241"/>
      <c r="H66" s="241"/>
      <c r="I66" s="241"/>
      <c r="J66" s="241"/>
      <c r="K66" s="241"/>
      <c r="L66" s="241"/>
      <c r="M66" s="241"/>
      <c r="N66" s="250"/>
      <c r="O66" s="263"/>
      <c r="P66" s="263"/>
      <c r="Q66" s="255"/>
      <c r="R66" s="252"/>
      <c r="S66" s="252"/>
      <c r="T66" s="252"/>
      <c r="U66" s="255"/>
      <c r="V66" s="263"/>
    </row>
    <row r="67" spans="1:22" ht="12.75">
      <c r="A67" s="247" t="s">
        <v>1288</v>
      </c>
      <c r="B67" s="246"/>
      <c r="C67" s="249"/>
      <c r="E67" s="241">
        <f>+E64-E66+E65</f>
        <v>0</v>
      </c>
      <c r="F67" s="241">
        <f>+F64-F66+F65</f>
        <v>0</v>
      </c>
      <c r="G67" s="241"/>
      <c r="H67" s="241"/>
      <c r="I67" s="241"/>
      <c r="J67" s="241"/>
      <c r="K67" s="241"/>
      <c r="L67" s="241">
        <v>0</v>
      </c>
      <c r="M67" s="241">
        <v>0</v>
      </c>
      <c r="N67" s="250"/>
      <c r="O67" s="240"/>
      <c r="P67" s="240"/>
      <c r="Q67" s="252"/>
      <c r="R67" s="252"/>
      <c r="S67" s="252"/>
      <c r="T67" s="252"/>
      <c r="U67" s="252"/>
      <c r="V67" s="240"/>
    </row>
    <row r="68" spans="1:22" ht="12.75">
      <c r="A68" s="247" t="s">
        <v>1287</v>
      </c>
      <c r="B68" s="246"/>
      <c r="C68" s="249"/>
      <c r="E68" s="241">
        <f>+(E64+E67)/2</f>
        <v>0</v>
      </c>
      <c r="F68" s="241">
        <f>+(F64+F67)/2</f>
        <v>0</v>
      </c>
      <c r="G68" s="241"/>
      <c r="H68" s="241"/>
      <c r="I68" s="241"/>
      <c r="J68" s="241"/>
      <c r="K68" s="241"/>
      <c r="L68" s="241"/>
      <c r="M68" s="241"/>
      <c r="N68" s="250"/>
      <c r="O68" s="240"/>
      <c r="P68" s="240"/>
      <c r="Q68" s="252"/>
      <c r="R68" s="252"/>
      <c r="S68" s="252"/>
      <c r="T68" s="252"/>
      <c r="U68" s="252"/>
      <c r="V68" s="240"/>
    </row>
    <row r="69" spans="1:22" ht="12.75">
      <c r="A69" s="247" t="s">
        <v>1286</v>
      </c>
      <c r="B69" s="246"/>
      <c r="C69" s="249"/>
      <c r="E69" s="241">
        <f>+E68*E26</f>
        <v>0</v>
      </c>
      <c r="F69" s="241">
        <f>+F68*F26</f>
        <v>0</v>
      </c>
      <c r="G69" s="241"/>
      <c r="H69" s="241"/>
      <c r="I69" s="241"/>
      <c r="J69" s="241"/>
      <c r="K69" s="241"/>
      <c r="L69" s="241">
        <v>0</v>
      </c>
      <c r="M69" s="241">
        <v>0</v>
      </c>
      <c r="N69" s="250"/>
      <c r="O69" s="240"/>
      <c r="P69" s="240"/>
      <c r="Q69" s="252"/>
      <c r="R69" s="252"/>
      <c r="S69" s="252"/>
      <c r="T69" s="252"/>
      <c r="U69" s="252"/>
      <c r="V69" s="240"/>
    </row>
    <row r="70" spans="1:22" ht="12.75" hidden="1">
      <c r="A70" s="247" t="s">
        <v>1285</v>
      </c>
      <c r="B70" s="246"/>
      <c r="C70" s="249"/>
      <c r="E70" s="262"/>
      <c r="F70" s="262"/>
      <c r="G70" s="262"/>
      <c r="H70" s="262"/>
      <c r="I70" s="262"/>
      <c r="J70" s="262"/>
      <c r="K70" s="262"/>
      <c r="L70" s="262"/>
      <c r="M70" s="262"/>
      <c r="N70" s="250"/>
      <c r="P70" s="209"/>
      <c r="Q70" s="261"/>
      <c r="R70" s="261"/>
      <c r="S70" s="261"/>
      <c r="T70" s="261"/>
      <c r="U70" s="261"/>
      <c r="V70" s="209"/>
    </row>
    <row r="71" spans="1:22" ht="12.75">
      <c r="A71" s="247"/>
      <c r="B71" s="246"/>
      <c r="C71" s="249"/>
      <c r="E71" s="260"/>
      <c r="F71" s="260"/>
      <c r="G71" s="260"/>
      <c r="H71" s="260"/>
      <c r="I71" s="260"/>
      <c r="J71" s="260"/>
      <c r="K71" s="260"/>
      <c r="L71" s="260"/>
      <c r="M71" s="260"/>
      <c r="N71" s="250"/>
      <c r="P71" s="209"/>
      <c r="Q71" s="259"/>
      <c r="R71" s="259"/>
      <c r="S71" s="259"/>
      <c r="T71" s="259"/>
      <c r="U71" s="259"/>
      <c r="V71" s="209"/>
    </row>
    <row r="72" spans="1:22" ht="12.75">
      <c r="A72" s="258" t="s">
        <v>1283</v>
      </c>
      <c r="B72" s="246"/>
      <c r="C72" s="249"/>
      <c r="E72" s="241"/>
      <c r="F72" s="241"/>
      <c r="G72" s="241"/>
      <c r="H72" s="241"/>
      <c r="I72" s="241"/>
      <c r="J72" s="241"/>
      <c r="K72" s="241"/>
      <c r="L72" s="241"/>
      <c r="M72" s="241"/>
      <c r="N72" s="250"/>
      <c r="P72" s="209"/>
      <c r="Q72" s="257"/>
      <c r="R72" s="257"/>
      <c r="S72" s="257"/>
      <c r="T72" s="252"/>
      <c r="U72" s="252"/>
      <c r="V72" s="209"/>
    </row>
    <row r="73" spans="1:22" ht="12.75">
      <c r="A73" s="247" t="s">
        <v>1282</v>
      </c>
      <c r="B73" s="246"/>
      <c r="C73" s="249"/>
      <c r="E73" s="241">
        <f>+E19</f>
        <v>146.45</v>
      </c>
      <c r="F73" s="241">
        <f>+F19</f>
        <v>146.45</v>
      </c>
      <c r="G73" s="241">
        <f>+G19</f>
        <v>146.45</v>
      </c>
      <c r="H73" s="241">
        <v>149.77</v>
      </c>
      <c r="I73" s="241">
        <v>149.77</v>
      </c>
      <c r="J73" s="241">
        <v>150.09</v>
      </c>
      <c r="K73" s="241">
        <v>150.88</v>
      </c>
      <c r="L73" s="241">
        <v>150.92</v>
      </c>
      <c r="M73" s="241">
        <f>+M59</f>
        <v>162.689</v>
      </c>
      <c r="N73" s="250"/>
      <c r="O73" s="256"/>
      <c r="P73" s="209"/>
      <c r="Q73" s="252"/>
      <c r="R73" s="252"/>
      <c r="S73" s="252"/>
      <c r="T73" s="252"/>
      <c r="U73" s="252"/>
      <c r="V73" s="209"/>
    </row>
    <row r="74" spans="1:22" ht="12.75">
      <c r="A74" s="247" t="s">
        <v>1281</v>
      </c>
      <c r="B74" s="246"/>
      <c r="C74" s="249"/>
      <c r="E74" s="245">
        <v>7.93</v>
      </c>
      <c r="F74" s="245">
        <v>7.93</v>
      </c>
      <c r="G74" s="245">
        <v>7.93</v>
      </c>
      <c r="H74" s="245">
        <v>7.93</v>
      </c>
      <c r="I74" s="245">
        <v>7.93</v>
      </c>
      <c r="J74" s="245">
        <v>7.93</v>
      </c>
      <c r="K74" s="245">
        <v>7.93</v>
      </c>
      <c r="L74" s="245">
        <v>7.93</v>
      </c>
      <c r="M74" s="245">
        <v>7.93</v>
      </c>
      <c r="N74" s="250"/>
      <c r="P74" s="209"/>
      <c r="Q74" s="252"/>
      <c r="R74" s="252"/>
      <c r="S74" s="252"/>
      <c r="T74" s="252"/>
      <c r="U74" s="252"/>
      <c r="V74" s="209"/>
    </row>
    <row r="75" spans="1:22" ht="12.75">
      <c r="A75" s="247" t="s">
        <v>1280</v>
      </c>
      <c r="B75" s="246"/>
      <c r="C75" s="249"/>
      <c r="E75" s="241">
        <f aca="true" t="shared" si="9" ref="E75:K75">+E73-E74</f>
        <v>138.51999999999998</v>
      </c>
      <c r="F75" s="241">
        <f t="shared" si="9"/>
        <v>138.51999999999998</v>
      </c>
      <c r="G75" s="241">
        <f t="shared" si="9"/>
        <v>138.51999999999998</v>
      </c>
      <c r="H75" s="241">
        <f t="shared" si="9"/>
        <v>141.84</v>
      </c>
      <c r="I75" s="241">
        <f t="shared" si="9"/>
        <v>141.84</v>
      </c>
      <c r="J75" s="241">
        <f t="shared" si="9"/>
        <v>142.16</v>
      </c>
      <c r="K75" s="241">
        <f t="shared" si="9"/>
        <v>142.95</v>
      </c>
      <c r="L75" s="241">
        <v>142.99</v>
      </c>
      <c r="M75" s="241">
        <f>M73-M74</f>
        <v>154.759</v>
      </c>
      <c r="N75" s="250"/>
      <c r="O75" s="114"/>
      <c r="P75" s="209"/>
      <c r="Q75" s="252"/>
      <c r="R75" s="252"/>
      <c r="S75" s="252"/>
      <c r="T75" s="252"/>
      <c r="U75" s="252"/>
      <c r="V75" s="209"/>
    </row>
    <row r="76" spans="1:22" ht="25.5">
      <c r="A76" s="247" t="s">
        <v>1279</v>
      </c>
      <c r="B76" s="246"/>
      <c r="C76" s="249"/>
      <c r="E76" s="245">
        <v>112.68</v>
      </c>
      <c r="F76" s="245">
        <f>(+E76)+(E35)</f>
        <v>119.65</v>
      </c>
      <c r="G76" s="245">
        <f>(+F76)+(F35)</f>
        <v>124.67</v>
      </c>
      <c r="H76" s="245">
        <f>(+G76)+(G35)</f>
        <v>124.67</v>
      </c>
      <c r="I76" s="245">
        <f>(+H76)+(H35)</f>
        <v>125</v>
      </c>
      <c r="J76" s="245">
        <f>(+I76)+(I35)</f>
        <v>125.27</v>
      </c>
      <c r="K76" s="245">
        <v>125.27</v>
      </c>
      <c r="L76" s="245">
        <v>125.74</v>
      </c>
      <c r="M76" s="245">
        <f>(+L76)+(L35)</f>
        <v>126.11</v>
      </c>
      <c r="N76" s="250" t="s">
        <v>1278</v>
      </c>
      <c r="P76" s="209"/>
      <c r="Q76" s="255"/>
      <c r="R76" s="252"/>
      <c r="S76" s="252"/>
      <c r="T76" s="252"/>
      <c r="U76" s="252"/>
      <c r="V76" s="209"/>
    </row>
    <row r="77" spans="1:22" ht="102">
      <c r="A77" s="247" t="s">
        <v>1277</v>
      </c>
      <c r="B77" s="246"/>
      <c r="C77" s="249"/>
      <c r="E77" s="254">
        <f>+E75*E25/100</f>
        <v>6.967555999999999</v>
      </c>
      <c r="F77" s="254">
        <v>5.02</v>
      </c>
      <c r="G77" s="254">
        <v>0</v>
      </c>
      <c r="H77" s="254">
        <v>0.27</v>
      </c>
      <c r="I77" s="254">
        <v>0.27</v>
      </c>
      <c r="J77" s="254">
        <v>0.33</v>
      </c>
      <c r="K77" s="254">
        <v>0.38</v>
      </c>
      <c r="L77" s="254">
        <v>0.37</v>
      </c>
      <c r="M77" s="254">
        <v>1.88</v>
      </c>
      <c r="N77" s="253" t="s">
        <v>1733</v>
      </c>
      <c r="P77" s="209"/>
      <c r="Q77" s="252"/>
      <c r="R77" s="252"/>
      <c r="S77" s="252"/>
      <c r="T77" s="252"/>
      <c r="U77" s="252"/>
      <c r="V77" s="209"/>
    </row>
    <row r="78" spans="1:22" ht="12.75">
      <c r="A78" s="247" t="s">
        <v>1276</v>
      </c>
      <c r="B78" s="246"/>
      <c r="C78" s="251"/>
      <c r="E78" s="241">
        <f aca="true" t="shared" si="10" ref="E78:K78">+E75*0.9</f>
        <v>124.66799999999999</v>
      </c>
      <c r="F78" s="241">
        <f t="shared" si="10"/>
        <v>124.66799999999999</v>
      </c>
      <c r="G78" s="241">
        <f t="shared" si="10"/>
        <v>124.66799999999999</v>
      </c>
      <c r="H78" s="241">
        <f t="shared" si="10"/>
        <v>127.656</v>
      </c>
      <c r="I78" s="241">
        <f t="shared" si="10"/>
        <v>127.656</v>
      </c>
      <c r="J78" s="241">
        <f t="shared" si="10"/>
        <v>127.944</v>
      </c>
      <c r="K78" s="241">
        <f t="shared" si="10"/>
        <v>128.655</v>
      </c>
      <c r="L78" s="241">
        <v>128.69</v>
      </c>
      <c r="M78" s="241">
        <f>M75*0.9</f>
        <v>139.2831</v>
      </c>
      <c r="N78" s="250"/>
      <c r="P78" s="209"/>
      <c r="Q78" s="240"/>
      <c r="R78" s="240"/>
      <c r="S78" s="240"/>
      <c r="T78" s="240"/>
      <c r="U78" s="240"/>
      <c r="V78" s="209"/>
    </row>
    <row r="79" spans="1:22" ht="12.75">
      <c r="A79" s="247" t="s">
        <v>1275</v>
      </c>
      <c r="B79" s="246"/>
      <c r="C79" s="249"/>
      <c r="E79" s="241">
        <f aca="true" t="shared" si="11" ref="E79:K79">+E77</f>
        <v>6.967555999999999</v>
      </c>
      <c r="F79" s="241">
        <f t="shared" si="11"/>
        <v>5.02</v>
      </c>
      <c r="G79" s="241">
        <f t="shared" si="11"/>
        <v>0</v>
      </c>
      <c r="H79" s="241">
        <f t="shared" si="11"/>
        <v>0.27</v>
      </c>
      <c r="I79" s="241">
        <f t="shared" si="11"/>
        <v>0.27</v>
      </c>
      <c r="J79" s="241">
        <f t="shared" si="11"/>
        <v>0.33</v>
      </c>
      <c r="K79" s="241">
        <f t="shared" si="11"/>
        <v>0.38</v>
      </c>
      <c r="L79" s="241">
        <v>0.37</v>
      </c>
      <c r="M79" s="241">
        <f>+M77</f>
        <v>1.88</v>
      </c>
      <c r="N79" s="250"/>
      <c r="P79" s="209"/>
      <c r="Q79" s="240"/>
      <c r="R79" s="240"/>
      <c r="S79" s="240"/>
      <c r="T79" s="240"/>
      <c r="U79" s="240"/>
      <c r="V79" s="209"/>
    </row>
    <row r="80" spans="1:22" ht="12.75">
      <c r="A80" s="247"/>
      <c r="B80" s="246"/>
      <c r="C80" s="249"/>
      <c r="N80" s="248"/>
      <c r="P80" s="209"/>
      <c r="Q80" s="209"/>
      <c r="R80" s="209"/>
      <c r="S80" s="209"/>
      <c r="T80" s="209"/>
      <c r="U80" s="209"/>
      <c r="V80" s="209"/>
    </row>
    <row r="81" spans="1:22" ht="12.75" hidden="1">
      <c r="A81" s="247" t="s">
        <v>1274</v>
      </c>
      <c r="B81" s="246"/>
      <c r="C81" s="246"/>
      <c r="E81" s="240"/>
      <c r="F81" s="240"/>
      <c r="G81" s="240"/>
      <c r="H81" s="240"/>
      <c r="I81" s="240"/>
      <c r="J81" s="240"/>
      <c r="K81" s="240"/>
      <c r="L81" s="240"/>
      <c r="M81" s="240"/>
      <c r="N81" s="248"/>
      <c r="O81" s="240"/>
      <c r="P81" s="209"/>
      <c r="Q81" s="209"/>
      <c r="R81" s="209"/>
      <c r="S81" s="209"/>
      <c r="T81" s="209"/>
      <c r="U81" s="209"/>
      <c r="V81" s="209"/>
    </row>
    <row r="82" spans="1:22" ht="12.75" hidden="1">
      <c r="A82" s="247" t="s">
        <v>1259</v>
      </c>
      <c r="B82" s="246"/>
      <c r="C82" s="246"/>
      <c r="E82" s="240"/>
      <c r="F82" s="240"/>
      <c r="G82" s="240"/>
      <c r="H82" s="240"/>
      <c r="I82" s="240"/>
      <c r="J82" s="240"/>
      <c r="K82" s="240"/>
      <c r="L82" s="240"/>
      <c r="M82" s="240"/>
      <c r="N82" s="248"/>
      <c r="O82" s="240"/>
      <c r="P82" s="209"/>
      <c r="Q82" s="209"/>
      <c r="R82" s="209"/>
      <c r="S82" s="209"/>
      <c r="T82" s="209"/>
      <c r="U82" s="209"/>
      <c r="V82" s="209"/>
    </row>
    <row r="83" spans="1:22" ht="12.75" hidden="1">
      <c r="A83" s="247" t="s">
        <v>1273</v>
      </c>
      <c r="B83" s="246"/>
      <c r="C83" s="246"/>
      <c r="E83" s="240"/>
      <c r="F83" s="240"/>
      <c r="G83" s="240"/>
      <c r="H83" s="240"/>
      <c r="I83" s="240"/>
      <c r="J83" s="240"/>
      <c r="K83" s="240"/>
      <c r="L83" s="240"/>
      <c r="M83" s="240"/>
      <c r="N83" s="248"/>
      <c r="O83" s="240"/>
      <c r="P83" s="209"/>
      <c r="Q83" s="209"/>
      <c r="R83" s="209"/>
      <c r="S83" s="209"/>
      <c r="T83" s="209"/>
      <c r="U83" s="209"/>
      <c r="V83" s="209"/>
    </row>
    <row r="84" spans="1:22" ht="12.75" hidden="1">
      <c r="A84" s="247" t="s">
        <v>1272</v>
      </c>
      <c r="B84" s="246"/>
      <c r="C84" s="246"/>
      <c r="E84" s="240"/>
      <c r="F84" s="240"/>
      <c r="G84" s="240"/>
      <c r="H84" s="240"/>
      <c r="I84" s="240"/>
      <c r="J84" s="240"/>
      <c r="K84" s="240"/>
      <c r="L84" s="240"/>
      <c r="M84" s="240"/>
      <c r="N84" s="248"/>
      <c r="O84" s="240"/>
      <c r="P84" s="209"/>
      <c r="Q84" s="209"/>
      <c r="R84" s="209"/>
      <c r="S84" s="209"/>
      <c r="T84" s="209"/>
      <c r="U84" s="209"/>
      <c r="V84" s="209"/>
    </row>
    <row r="85" spans="1:22" ht="12.75" hidden="1">
      <c r="A85" s="247" t="s">
        <v>1271</v>
      </c>
      <c r="B85" s="246"/>
      <c r="C85" s="246"/>
      <c r="E85" s="240"/>
      <c r="F85" s="240"/>
      <c r="G85" s="240"/>
      <c r="H85" s="240"/>
      <c r="I85" s="240"/>
      <c r="J85" s="240"/>
      <c r="K85" s="240"/>
      <c r="L85" s="240"/>
      <c r="M85" s="240"/>
      <c r="N85" s="248"/>
      <c r="O85" s="240"/>
      <c r="P85" s="209"/>
      <c r="Q85" s="209"/>
      <c r="R85" s="209"/>
      <c r="S85" s="209"/>
      <c r="T85" s="209"/>
      <c r="U85" s="209"/>
      <c r="V85" s="209"/>
    </row>
    <row r="86" spans="1:22" ht="12.75" hidden="1">
      <c r="A86" s="247" t="s">
        <v>1270</v>
      </c>
      <c r="B86" s="246"/>
      <c r="C86" s="246"/>
      <c r="E86" s="240"/>
      <c r="F86" s="240"/>
      <c r="G86" s="240"/>
      <c r="H86" s="240"/>
      <c r="I86" s="240"/>
      <c r="J86" s="240"/>
      <c r="K86" s="240"/>
      <c r="L86" s="240"/>
      <c r="M86" s="240"/>
      <c r="N86" s="248"/>
      <c r="O86" s="240"/>
      <c r="P86" s="209"/>
      <c r="Q86" s="209"/>
      <c r="R86" s="209"/>
      <c r="S86" s="209"/>
      <c r="T86" s="209"/>
      <c r="U86" s="209"/>
      <c r="V86" s="209"/>
    </row>
    <row r="87" spans="1:22" ht="12.75" hidden="1">
      <c r="A87" s="247" t="s">
        <v>1269</v>
      </c>
      <c r="B87" s="246"/>
      <c r="C87" s="246"/>
      <c r="E87" s="240"/>
      <c r="F87" s="240"/>
      <c r="G87" s="240"/>
      <c r="H87" s="240"/>
      <c r="I87" s="240"/>
      <c r="J87" s="240"/>
      <c r="K87" s="240"/>
      <c r="L87" s="240"/>
      <c r="M87" s="240"/>
      <c r="N87" s="248"/>
      <c r="O87" s="240"/>
      <c r="P87" s="209"/>
      <c r="Q87" s="209"/>
      <c r="R87" s="209"/>
      <c r="S87" s="209"/>
      <c r="T87" s="209"/>
      <c r="U87" s="209"/>
      <c r="V87" s="209"/>
    </row>
    <row r="88" spans="1:22" ht="12.75" hidden="1">
      <c r="A88" s="247" t="s">
        <v>1268</v>
      </c>
      <c r="B88" s="246"/>
      <c r="C88" s="246"/>
      <c r="E88" s="240"/>
      <c r="F88" s="240"/>
      <c r="G88" s="240"/>
      <c r="H88" s="240"/>
      <c r="I88" s="240"/>
      <c r="J88" s="240"/>
      <c r="K88" s="240"/>
      <c r="L88" s="240"/>
      <c r="M88" s="240"/>
      <c r="N88" s="248"/>
      <c r="O88" s="240"/>
      <c r="P88" s="209"/>
      <c r="Q88" s="209"/>
      <c r="R88" s="209"/>
      <c r="S88" s="209"/>
      <c r="T88" s="209"/>
      <c r="U88" s="209"/>
      <c r="V88" s="209"/>
    </row>
    <row r="89" spans="1:22" ht="12.75" hidden="1">
      <c r="A89" s="247" t="s">
        <v>1267</v>
      </c>
      <c r="B89" s="246"/>
      <c r="C89" s="246"/>
      <c r="E89" s="240"/>
      <c r="F89" s="240"/>
      <c r="G89" s="240"/>
      <c r="H89" s="240"/>
      <c r="I89" s="240"/>
      <c r="J89" s="240"/>
      <c r="K89" s="240"/>
      <c r="L89" s="240"/>
      <c r="M89" s="240"/>
      <c r="N89" s="248"/>
      <c r="O89" s="240"/>
      <c r="P89" s="209"/>
      <c r="Q89" s="209"/>
      <c r="R89" s="209"/>
      <c r="S89" s="209"/>
      <c r="T89" s="209"/>
      <c r="U89" s="209"/>
      <c r="V89" s="209"/>
    </row>
    <row r="90" spans="1:22" ht="12.75" hidden="1">
      <c r="A90" s="247" t="s">
        <v>1266</v>
      </c>
      <c r="B90" s="246"/>
      <c r="C90" s="246"/>
      <c r="E90" s="240"/>
      <c r="F90" s="240"/>
      <c r="G90" s="240"/>
      <c r="H90" s="240"/>
      <c r="I90" s="240"/>
      <c r="J90" s="240"/>
      <c r="K90" s="240"/>
      <c r="L90" s="240"/>
      <c r="M90" s="240"/>
      <c r="N90" s="248"/>
      <c r="O90" s="235"/>
      <c r="P90" s="209"/>
      <c r="Q90" s="209"/>
      <c r="R90" s="209"/>
      <c r="S90" s="209"/>
      <c r="T90" s="209"/>
      <c r="U90" s="209"/>
      <c r="V90" s="209"/>
    </row>
    <row r="91" spans="1:22" ht="12.75" hidden="1">
      <c r="A91" s="247" t="s">
        <v>1265</v>
      </c>
      <c r="B91" s="246"/>
      <c r="C91" s="246"/>
      <c r="E91" s="240"/>
      <c r="F91" s="240"/>
      <c r="G91" s="240"/>
      <c r="H91" s="240"/>
      <c r="I91" s="240"/>
      <c r="J91" s="240"/>
      <c r="K91" s="240"/>
      <c r="L91" s="240"/>
      <c r="M91" s="240"/>
      <c r="N91" s="248"/>
      <c r="O91" s="240"/>
      <c r="P91" s="209"/>
      <c r="Q91" s="209"/>
      <c r="R91" s="209"/>
      <c r="S91" s="209"/>
      <c r="T91" s="209"/>
      <c r="U91" s="209"/>
      <c r="V91" s="209"/>
    </row>
    <row r="92" spans="1:22" ht="12.75" hidden="1">
      <c r="A92" s="247"/>
      <c r="B92" s="246"/>
      <c r="C92" s="246"/>
      <c r="E92" s="235"/>
      <c r="F92" s="235"/>
      <c r="G92" s="235"/>
      <c r="H92" s="235"/>
      <c r="I92" s="235"/>
      <c r="J92" s="235"/>
      <c r="K92" s="235"/>
      <c r="L92" s="235"/>
      <c r="M92" s="235"/>
      <c r="N92" s="248"/>
      <c r="O92" s="235"/>
      <c r="P92" s="209"/>
      <c r="Q92" s="209"/>
      <c r="R92" s="209"/>
      <c r="S92" s="209"/>
      <c r="T92" s="209"/>
      <c r="U92" s="209"/>
      <c r="V92" s="209"/>
    </row>
    <row r="93" spans="1:22" ht="12.75" hidden="1">
      <c r="A93" s="247" t="s">
        <v>1264</v>
      </c>
      <c r="B93" s="246"/>
      <c r="C93" s="246"/>
      <c r="E93" s="235"/>
      <c r="F93" s="235"/>
      <c r="G93" s="235"/>
      <c r="H93" s="235"/>
      <c r="I93" s="235"/>
      <c r="J93" s="235"/>
      <c r="K93" s="235"/>
      <c r="L93" s="235"/>
      <c r="M93" s="235"/>
      <c r="N93" s="248"/>
      <c r="O93" s="235"/>
      <c r="P93" s="209"/>
      <c r="Q93" s="209"/>
      <c r="R93" s="209"/>
      <c r="S93" s="209"/>
      <c r="T93" s="209"/>
      <c r="U93" s="209"/>
      <c r="V93" s="209"/>
    </row>
    <row r="94" spans="1:22" ht="12.75" hidden="1">
      <c r="A94" s="247" t="s">
        <v>1263</v>
      </c>
      <c r="B94" s="246"/>
      <c r="C94" s="246"/>
      <c r="E94" s="244"/>
      <c r="F94" s="244"/>
      <c r="G94" s="244"/>
      <c r="H94" s="244"/>
      <c r="I94" s="244"/>
      <c r="J94" s="244"/>
      <c r="K94" s="244"/>
      <c r="L94" s="244"/>
      <c r="M94" s="244"/>
      <c r="N94" s="248"/>
      <c r="O94" s="244"/>
      <c r="P94" s="209"/>
      <c r="Q94" s="209"/>
      <c r="R94" s="209"/>
      <c r="S94" s="209"/>
      <c r="T94" s="209"/>
      <c r="U94" s="209"/>
      <c r="V94" s="209"/>
    </row>
    <row r="95" spans="1:22" ht="12.75" hidden="1">
      <c r="A95" s="247" t="s">
        <v>1262</v>
      </c>
      <c r="B95" s="246"/>
      <c r="C95" s="246"/>
      <c r="E95" s="244"/>
      <c r="F95" s="244"/>
      <c r="G95" s="244"/>
      <c r="H95" s="244"/>
      <c r="I95" s="244"/>
      <c r="J95" s="244"/>
      <c r="K95" s="244"/>
      <c r="L95" s="244"/>
      <c r="M95" s="244"/>
      <c r="N95" s="248"/>
      <c r="O95" s="244"/>
      <c r="P95" s="209"/>
      <c r="Q95" s="209"/>
      <c r="R95" s="209"/>
      <c r="S95" s="209"/>
      <c r="T95" s="209"/>
      <c r="U95" s="209"/>
      <c r="V95" s="209"/>
    </row>
    <row r="96" spans="1:22" ht="12.75" hidden="1">
      <c r="A96" s="247" t="s">
        <v>1261</v>
      </c>
      <c r="B96" s="246"/>
      <c r="C96" s="246"/>
      <c r="E96" s="240"/>
      <c r="F96" s="240"/>
      <c r="G96" s="240"/>
      <c r="H96" s="240"/>
      <c r="I96" s="240"/>
      <c r="J96" s="240"/>
      <c r="K96" s="240"/>
      <c r="L96" s="240"/>
      <c r="M96" s="240"/>
      <c r="N96" s="248"/>
      <c r="O96" s="240"/>
      <c r="P96" s="209"/>
      <c r="Q96" s="209"/>
      <c r="R96" s="209"/>
      <c r="S96" s="209"/>
      <c r="T96" s="209"/>
      <c r="U96" s="209"/>
      <c r="V96" s="209"/>
    </row>
    <row r="97" spans="1:22" ht="12.75" hidden="1">
      <c r="A97" s="247" t="s">
        <v>1260</v>
      </c>
      <c r="B97" s="246"/>
      <c r="C97" s="246"/>
      <c r="E97" s="245"/>
      <c r="F97" s="245"/>
      <c r="G97" s="245"/>
      <c r="H97" s="245"/>
      <c r="I97" s="245"/>
      <c r="J97" s="245"/>
      <c r="K97" s="245"/>
      <c r="L97" s="245"/>
      <c r="M97" s="245"/>
      <c r="N97" s="245"/>
      <c r="O97" s="244"/>
      <c r="P97" s="209"/>
      <c r="Q97" s="209"/>
      <c r="R97" s="209"/>
      <c r="S97" s="209"/>
      <c r="T97" s="209"/>
      <c r="U97" s="209"/>
      <c r="V97" s="209"/>
    </row>
    <row r="98" spans="1:22" ht="12.75" hidden="1">
      <c r="A98" s="243" t="s">
        <v>1259</v>
      </c>
      <c r="B98" s="242"/>
      <c r="C98" s="242"/>
      <c r="E98" s="241"/>
      <c r="F98" s="241"/>
      <c r="G98" s="241"/>
      <c r="H98" s="241"/>
      <c r="I98" s="241"/>
      <c r="J98" s="241"/>
      <c r="K98" s="241"/>
      <c r="L98" s="241"/>
      <c r="M98" s="241"/>
      <c r="N98" s="241"/>
      <c r="O98" s="240"/>
      <c r="P98" s="209"/>
      <c r="Q98" s="209"/>
      <c r="R98" s="209"/>
      <c r="S98" s="209"/>
      <c r="T98" s="209"/>
      <c r="U98" s="209"/>
      <c r="V98" s="209"/>
    </row>
    <row r="99" spans="1:22" ht="12.75">
      <c r="A99" s="239"/>
      <c r="B99" s="235"/>
      <c r="C99" s="235"/>
      <c r="D99" s="238"/>
      <c r="E99" s="237"/>
      <c r="F99" s="237"/>
      <c r="G99" s="237"/>
      <c r="H99" s="237"/>
      <c r="I99" s="237"/>
      <c r="J99" s="237"/>
      <c r="K99" s="237"/>
      <c r="L99" s="237"/>
      <c r="M99" s="237"/>
      <c r="P99" s="209"/>
      <c r="Q99" s="209"/>
      <c r="R99" s="209"/>
      <c r="S99" s="209"/>
      <c r="T99" s="209"/>
      <c r="U99" s="209"/>
      <c r="V99" s="209"/>
    </row>
    <row r="100" spans="1:22" ht="12.75">
      <c r="A100" s="209"/>
      <c r="B100" s="235"/>
      <c r="C100" s="235"/>
      <c r="D100" s="209"/>
      <c r="E100" s="209"/>
      <c r="F100" s="209"/>
      <c r="G100" s="209"/>
      <c r="H100" s="209"/>
      <c r="I100" s="209"/>
      <c r="J100" s="209"/>
      <c r="K100" s="209"/>
      <c r="L100" s="209"/>
      <c r="M100" s="209"/>
      <c r="P100" s="209"/>
      <c r="Q100" s="209"/>
      <c r="R100" s="209"/>
      <c r="S100" s="209"/>
      <c r="T100" s="209"/>
      <c r="U100" s="209"/>
      <c r="V100" s="209"/>
    </row>
    <row r="101" spans="1:22" ht="12.75">
      <c r="A101" s="235"/>
      <c r="B101" s="235"/>
      <c r="C101" s="236"/>
      <c r="D101" s="209"/>
      <c r="E101" s="209"/>
      <c r="F101" s="209"/>
      <c r="G101" s="209"/>
      <c r="H101" s="209"/>
      <c r="I101" s="209"/>
      <c r="J101" s="209"/>
      <c r="K101" s="209"/>
      <c r="L101" s="209"/>
      <c r="M101" s="209"/>
      <c r="P101" s="209"/>
      <c r="Q101" s="209"/>
      <c r="R101" s="209"/>
      <c r="S101" s="209"/>
      <c r="T101" s="209"/>
      <c r="U101" s="209"/>
      <c r="V101" s="209"/>
    </row>
    <row r="102" spans="1:22" ht="12.75">
      <c r="A102" s="235"/>
      <c r="B102" s="235"/>
      <c r="C102" s="236"/>
      <c r="D102" s="209"/>
      <c r="E102" s="209"/>
      <c r="F102" s="209"/>
      <c r="G102" s="209"/>
      <c r="H102" s="209"/>
      <c r="I102" s="209"/>
      <c r="J102" s="209"/>
      <c r="K102" s="209"/>
      <c r="L102" s="209"/>
      <c r="M102" s="209"/>
      <c r="P102" s="209"/>
      <c r="Q102" s="209"/>
      <c r="R102" s="209"/>
      <c r="S102" s="209"/>
      <c r="T102" s="209"/>
      <c r="U102" s="209"/>
      <c r="V102" s="209"/>
    </row>
    <row r="103" spans="1:22" ht="12.75">
      <c r="A103" s="235"/>
      <c r="B103" s="235"/>
      <c r="C103" s="235"/>
      <c r="D103" s="209"/>
      <c r="E103" s="209"/>
      <c r="F103" s="209"/>
      <c r="G103" s="209"/>
      <c r="H103" s="209"/>
      <c r="I103" s="209"/>
      <c r="J103" s="209"/>
      <c r="K103" s="209"/>
      <c r="L103" s="209"/>
      <c r="M103" s="209"/>
      <c r="P103" s="209"/>
      <c r="Q103" s="209"/>
      <c r="R103" s="209"/>
      <c r="S103" s="209"/>
      <c r="T103" s="209"/>
      <c r="U103" s="209"/>
      <c r="V103" s="209"/>
    </row>
    <row r="104" spans="1:13" ht="12.75">
      <c r="A104" s="209"/>
      <c r="B104" s="209"/>
      <c r="C104" s="209"/>
      <c r="D104" s="209"/>
      <c r="E104" s="209"/>
      <c r="F104" s="209"/>
      <c r="G104" s="209"/>
      <c r="H104" s="209"/>
      <c r="I104" s="209"/>
      <c r="J104" s="209"/>
      <c r="K104" s="209"/>
      <c r="L104" s="209"/>
      <c r="M104" s="209"/>
    </row>
    <row r="105" spans="1:13" ht="12.75">
      <c r="A105" s="209"/>
      <c r="B105" s="209"/>
      <c r="C105" s="209"/>
      <c r="D105" s="209"/>
      <c r="E105" s="209"/>
      <c r="F105" s="209"/>
      <c r="G105" s="209"/>
      <c r="H105" s="209"/>
      <c r="I105" s="209"/>
      <c r="J105" s="209"/>
      <c r="K105" s="209"/>
      <c r="L105" s="209"/>
      <c r="M105" s="209"/>
    </row>
    <row r="106" spans="1:13" ht="20.25">
      <c r="A106" s="209"/>
      <c r="B106" s="234"/>
      <c r="C106" s="209"/>
      <c r="D106" s="209"/>
      <c r="E106" s="209"/>
      <c r="F106" s="209"/>
      <c r="G106" s="209"/>
      <c r="H106" s="209"/>
      <c r="I106" s="209"/>
      <c r="J106" s="209"/>
      <c r="K106" s="209"/>
      <c r="L106" s="209"/>
      <c r="M106" s="209"/>
    </row>
    <row r="107" spans="1:13" ht="12.75">
      <c r="A107" s="209"/>
      <c r="B107" s="209"/>
      <c r="C107" s="209"/>
      <c r="D107" s="209"/>
      <c r="E107" s="209"/>
      <c r="F107" s="209"/>
      <c r="G107" s="209"/>
      <c r="H107" s="209"/>
      <c r="I107" s="209"/>
      <c r="J107" s="209"/>
      <c r="K107" s="209"/>
      <c r="L107" s="209"/>
      <c r="M107" s="209"/>
    </row>
    <row r="108" spans="1:13" ht="12.75">
      <c r="A108" s="1262"/>
      <c r="B108" s="1262"/>
      <c r="C108" s="209"/>
      <c r="D108" s="209"/>
      <c r="E108" s="233"/>
      <c r="F108" s="233"/>
      <c r="G108" s="233"/>
      <c r="H108" s="233"/>
      <c r="I108" s="233"/>
      <c r="J108" s="233"/>
      <c r="K108" s="233"/>
      <c r="L108" s="233"/>
      <c r="M108" s="233"/>
    </row>
    <row r="109" spans="1:13" ht="12.75">
      <c r="A109" s="209"/>
      <c r="B109" s="209"/>
      <c r="C109" s="209"/>
      <c r="D109" s="209"/>
      <c r="E109" s="209"/>
      <c r="F109" s="209"/>
      <c r="G109" s="209"/>
      <c r="H109" s="209"/>
      <c r="I109" s="209"/>
      <c r="J109" s="209"/>
      <c r="K109" s="209"/>
      <c r="L109" s="209"/>
      <c r="M109" s="209"/>
    </row>
    <row r="110" spans="5:13" ht="12.75">
      <c r="E110" s="209"/>
      <c r="F110" s="209"/>
      <c r="G110" s="209"/>
      <c r="H110" s="209"/>
      <c r="I110" s="209"/>
      <c r="J110" s="209"/>
      <c r="K110" s="209"/>
      <c r="L110" s="209"/>
      <c r="M110" s="209"/>
    </row>
    <row r="111" spans="5:13" ht="12.75">
      <c r="E111" s="209"/>
      <c r="F111" s="209"/>
      <c r="G111" s="209"/>
      <c r="H111" s="209"/>
      <c r="I111" s="209"/>
      <c r="J111" s="209"/>
      <c r="K111" s="209"/>
      <c r="L111" s="209"/>
      <c r="M111" s="209"/>
    </row>
  </sheetData>
  <sheetProtection/>
  <mergeCells count="9">
    <mergeCell ref="A42:B42"/>
    <mergeCell ref="A63:B63"/>
    <mergeCell ref="A108:B108"/>
    <mergeCell ref="A2:N2"/>
    <mergeCell ref="A3:N3"/>
    <mergeCell ref="A4:N4"/>
    <mergeCell ref="A6:B6"/>
    <mergeCell ref="A7:B7"/>
    <mergeCell ref="N15:N16"/>
  </mergeCells>
  <printOptions horizontalCentered="1" verticalCentered="1"/>
  <pageMargins left="0.41" right="0.46" top="0.68" bottom="0.93" header="0.511811023622047" footer="0.511811023622047"/>
  <pageSetup horizontalDpi="600" verticalDpi="600" orientation="portrait" scale="85" r:id="rId1"/>
</worksheet>
</file>

<file path=xl/worksheets/sheet36.xml><?xml version="1.0" encoding="utf-8"?>
<worksheet xmlns="http://schemas.openxmlformats.org/spreadsheetml/2006/main" xmlns:r="http://schemas.openxmlformats.org/officeDocument/2006/relationships">
  <dimension ref="A1:K33"/>
  <sheetViews>
    <sheetView view="pageBreakPreview" zoomScaleNormal="75" zoomScaleSheetLayoutView="100" zoomScalePageLayoutView="0" workbookViewId="0" topLeftCell="A10">
      <selection activeCell="A2" sqref="A2:I32"/>
    </sheetView>
  </sheetViews>
  <sheetFormatPr defaultColWidth="9.33203125" defaultRowHeight="15" customHeight="1"/>
  <cols>
    <col min="1" max="1" width="9.33203125" style="90" customWidth="1"/>
    <col min="2" max="2" width="65.5" style="90" customWidth="1"/>
    <col min="3" max="3" width="15" style="90" customWidth="1"/>
    <col min="4" max="4" width="14.5" style="90" hidden="1" customWidth="1"/>
    <col min="5" max="5" width="17.33203125" style="90" customWidth="1"/>
    <col min="6" max="6" width="0.328125" style="90" hidden="1" customWidth="1"/>
    <col min="7" max="7" width="17.33203125" style="90" customWidth="1"/>
    <col min="8" max="8" width="14.16015625" style="90" hidden="1" customWidth="1"/>
    <col min="9" max="9" width="17.33203125" style="90" customWidth="1"/>
    <col min="10" max="10" width="9.33203125" style="90" customWidth="1"/>
    <col min="11" max="11" width="16" style="90" bestFit="1" customWidth="1"/>
    <col min="12" max="16384" width="9.33203125" style="90" customWidth="1"/>
  </cols>
  <sheetData>
    <row r="1" spans="1:10" ht="15" customHeight="1">
      <c r="A1" s="395"/>
      <c r="B1" s="395"/>
      <c r="C1" s="395"/>
      <c r="D1" s="395"/>
      <c r="E1" s="395"/>
      <c r="G1" s="395"/>
      <c r="H1" s="396" t="s">
        <v>1172</v>
      </c>
      <c r="I1" s="395"/>
      <c r="J1" s="395"/>
    </row>
    <row r="2" spans="1:10" ht="15" customHeight="1">
      <c r="A2" s="395"/>
      <c r="B2" s="395"/>
      <c r="C2" s="395"/>
      <c r="D2" s="395"/>
      <c r="E2" s="395"/>
      <c r="H2" s="1125"/>
      <c r="I2" s="1125"/>
      <c r="J2" s="395"/>
    </row>
    <row r="3" spans="1:10" ht="34.5" customHeight="1">
      <c r="A3" s="395"/>
      <c r="B3" s="1126" t="s">
        <v>1698</v>
      </c>
      <c r="C3" s="1126"/>
      <c r="D3" s="1126"/>
      <c r="E3" s="1126"/>
      <c r="F3" s="1126"/>
      <c r="G3" s="1126"/>
      <c r="H3" s="395"/>
      <c r="I3" s="395"/>
      <c r="J3" s="395"/>
    </row>
    <row r="4" spans="1:10" ht="15" customHeight="1">
      <c r="A4" s="395"/>
      <c r="B4" s="397" t="s">
        <v>1699</v>
      </c>
      <c r="C4" s="1127" t="s">
        <v>1404</v>
      </c>
      <c r="D4" s="1127"/>
      <c r="E4" s="1127"/>
      <c r="F4" s="1127"/>
      <c r="G4" s="1127"/>
      <c r="H4" s="395"/>
      <c r="I4" s="395"/>
      <c r="J4" s="395"/>
    </row>
    <row r="5" spans="1:10" ht="15" customHeight="1">
      <c r="A5" s="395"/>
      <c r="B5" s="397" t="s">
        <v>1576</v>
      </c>
      <c r="C5" s="398" t="s">
        <v>1700</v>
      </c>
      <c r="E5" s="399"/>
      <c r="F5" s="400"/>
      <c r="G5" s="400"/>
      <c r="H5" s="400"/>
      <c r="I5" s="400"/>
      <c r="J5" s="400"/>
    </row>
    <row r="6" spans="1:10" ht="15" customHeight="1">
      <c r="A6" s="395"/>
      <c r="B6" s="401" t="s">
        <v>1701</v>
      </c>
      <c r="C6" s="402"/>
      <c r="D6" s="402"/>
      <c r="E6" s="402"/>
      <c r="F6" s="402"/>
      <c r="G6" s="395"/>
      <c r="H6" s="395"/>
      <c r="I6" s="395"/>
      <c r="J6" s="395"/>
    </row>
    <row r="7" spans="1:10" ht="15" customHeight="1">
      <c r="A7" s="395"/>
      <c r="B7" s="401" t="s">
        <v>1702</v>
      </c>
      <c r="C7" s="402"/>
      <c r="D7" s="402"/>
      <c r="E7" s="402"/>
      <c r="F7" s="402"/>
      <c r="G7" s="403"/>
      <c r="H7" s="403"/>
      <c r="I7" s="403"/>
      <c r="J7" s="403"/>
    </row>
    <row r="8" spans="1:10" ht="35.25" customHeight="1">
      <c r="A8" s="404" t="s">
        <v>1467</v>
      </c>
      <c r="B8" s="404" t="s">
        <v>1229</v>
      </c>
      <c r="C8" s="404" t="s">
        <v>1466</v>
      </c>
      <c r="E8" s="405" t="s">
        <v>1703</v>
      </c>
      <c r="F8" s="225"/>
      <c r="G8" s="405" t="s">
        <v>1704</v>
      </c>
      <c r="H8" s="405"/>
      <c r="I8" s="405" t="s">
        <v>1705</v>
      </c>
      <c r="J8" s="403"/>
    </row>
    <row r="9" spans="1:10" ht="15" customHeight="1">
      <c r="A9" s="404"/>
      <c r="B9" s="404"/>
      <c r="C9" s="404"/>
      <c r="D9" s="406" t="s">
        <v>1706</v>
      </c>
      <c r="E9" s="406" t="s">
        <v>1707</v>
      </c>
      <c r="F9" s="406" t="s">
        <v>1707</v>
      </c>
      <c r="G9" s="406" t="s">
        <v>1707</v>
      </c>
      <c r="H9" s="406" t="s">
        <v>1707</v>
      </c>
      <c r="I9" s="406" t="s">
        <v>1707</v>
      </c>
      <c r="J9" s="403"/>
    </row>
    <row r="10" spans="1:10" ht="15" customHeight="1">
      <c r="A10" s="407">
        <v>1</v>
      </c>
      <c r="B10" s="408" t="s">
        <v>1708</v>
      </c>
      <c r="C10" s="409" t="s">
        <v>1709</v>
      </c>
      <c r="D10" s="410">
        <v>53.72</v>
      </c>
      <c r="E10" s="411">
        <v>5058504</v>
      </c>
      <c r="F10" s="412">
        <v>0</v>
      </c>
      <c r="G10" s="413">
        <v>5110667</v>
      </c>
      <c r="H10" s="414">
        <v>0</v>
      </c>
      <c r="I10" s="415">
        <v>5292590</v>
      </c>
      <c r="J10" s="403"/>
    </row>
    <row r="11" spans="1:10" ht="15" customHeight="1">
      <c r="A11" s="407">
        <v>2</v>
      </c>
      <c r="B11" s="408" t="s">
        <v>1710</v>
      </c>
      <c r="C11" s="409" t="s">
        <v>1709</v>
      </c>
      <c r="D11" s="410">
        <v>0</v>
      </c>
      <c r="E11" s="412">
        <v>0</v>
      </c>
      <c r="F11" s="412">
        <v>0</v>
      </c>
      <c r="G11" s="412">
        <v>0</v>
      </c>
      <c r="H11" s="412">
        <v>0</v>
      </c>
      <c r="I11" s="416">
        <v>0</v>
      </c>
      <c r="J11" s="403"/>
    </row>
    <row r="12" spans="1:10" ht="15" customHeight="1">
      <c r="A12" s="407">
        <v>3</v>
      </c>
      <c r="B12" s="417" t="s">
        <v>1711</v>
      </c>
      <c r="C12" s="409" t="s">
        <v>1709</v>
      </c>
      <c r="D12" s="410">
        <f aca="true" t="shared" si="0" ref="D12:I12">+D10-D11</f>
        <v>53.72</v>
      </c>
      <c r="E12" s="418">
        <f t="shared" si="0"/>
        <v>5058504</v>
      </c>
      <c r="F12" s="412">
        <f t="shared" si="0"/>
        <v>0</v>
      </c>
      <c r="G12" s="418">
        <f t="shared" si="0"/>
        <v>5110667</v>
      </c>
      <c r="H12" s="418">
        <f t="shared" si="0"/>
        <v>0</v>
      </c>
      <c r="I12" s="419">
        <f t="shared" si="0"/>
        <v>5292590</v>
      </c>
      <c r="J12" s="403"/>
    </row>
    <row r="13" spans="1:10" ht="15" customHeight="1">
      <c r="A13" s="407">
        <v>4</v>
      </c>
      <c r="B13" s="408" t="s">
        <v>1712</v>
      </c>
      <c r="C13" s="409" t="s">
        <v>1709</v>
      </c>
      <c r="D13" s="410">
        <v>0</v>
      </c>
      <c r="E13" s="412">
        <v>0</v>
      </c>
      <c r="F13" s="412"/>
      <c r="G13" s="418">
        <v>0</v>
      </c>
      <c r="H13" s="418"/>
      <c r="I13" s="419">
        <v>0</v>
      </c>
      <c r="J13" s="403"/>
    </row>
    <row r="14" spans="1:10" ht="15" customHeight="1">
      <c r="A14" s="407">
        <v>5</v>
      </c>
      <c r="B14" s="408" t="s">
        <v>1713</v>
      </c>
      <c r="C14" s="409" t="s">
        <v>1709</v>
      </c>
      <c r="D14" s="410">
        <f aca="true" t="shared" si="1" ref="D14:I14">+D12-D13</f>
        <v>53.72</v>
      </c>
      <c r="E14" s="418">
        <f t="shared" si="1"/>
        <v>5058504</v>
      </c>
      <c r="F14" s="412">
        <f t="shared" si="1"/>
        <v>0</v>
      </c>
      <c r="G14" s="418">
        <f t="shared" si="1"/>
        <v>5110667</v>
      </c>
      <c r="H14" s="418">
        <f t="shared" si="1"/>
        <v>0</v>
      </c>
      <c r="I14" s="419">
        <f t="shared" si="1"/>
        <v>5292590</v>
      </c>
      <c r="J14" s="403"/>
    </row>
    <row r="15" spans="1:10" ht="15" customHeight="1">
      <c r="A15" s="407">
        <v>6</v>
      </c>
      <c r="B15" s="408" t="s">
        <v>1714</v>
      </c>
      <c r="C15" s="409" t="s">
        <v>1715</v>
      </c>
      <c r="D15" s="420">
        <v>1215844</v>
      </c>
      <c r="E15" s="286">
        <v>45516074</v>
      </c>
      <c r="F15" s="412">
        <v>0</v>
      </c>
      <c r="G15" s="286">
        <v>45472242</v>
      </c>
      <c r="H15" s="412">
        <v>0</v>
      </c>
      <c r="I15" s="372">
        <v>46909257</v>
      </c>
      <c r="J15" s="403"/>
    </row>
    <row r="16" spans="1:10" ht="15" customHeight="1">
      <c r="A16" s="407">
        <v>7</v>
      </c>
      <c r="B16" s="408" t="s">
        <v>1716</v>
      </c>
      <c r="C16" s="409" t="s">
        <v>1715</v>
      </c>
      <c r="D16" s="420">
        <v>0</v>
      </c>
      <c r="E16" s="418">
        <v>0</v>
      </c>
      <c r="F16" s="412">
        <v>0</v>
      </c>
      <c r="G16" s="418">
        <v>0</v>
      </c>
      <c r="H16" s="412">
        <v>0</v>
      </c>
      <c r="I16" s="419">
        <v>0</v>
      </c>
      <c r="J16" s="403"/>
    </row>
    <row r="17" spans="1:10" ht="15" customHeight="1">
      <c r="A17" s="407">
        <v>8</v>
      </c>
      <c r="B17" s="408" t="s">
        <v>1717</v>
      </c>
      <c r="C17" s="409" t="s">
        <v>1715</v>
      </c>
      <c r="D17" s="420">
        <f>+D15-D16</f>
        <v>1215844</v>
      </c>
      <c r="E17" s="421">
        <f>+E15+E16</f>
        <v>45516074</v>
      </c>
      <c r="F17" s="412">
        <f>+F15-F16</f>
        <v>0</v>
      </c>
      <c r="G17" s="421">
        <f>+G15+G16</f>
        <v>45472242</v>
      </c>
      <c r="H17" s="412">
        <f>+H15-H16</f>
        <v>0</v>
      </c>
      <c r="I17" s="422">
        <f>+I15+I16</f>
        <v>46909257</v>
      </c>
      <c r="J17" s="403"/>
    </row>
    <row r="18" spans="1:10" ht="15" customHeight="1">
      <c r="A18" s="407">
        <v>9</v>
      </c>
      <c r="B18" s="408" t="s">
        <v>1718</v>
      </c>
      <c r="C18" s="409" t="s">
        <v>1715</v>
      </c>
      <c r="D18" s="410">
        <v>0</v>
      </c>
      <c r="E18" s="412">
        <v>0</v>
      </c>
      <c r="F18" s="412">
        <v>0</v>
      </c>
      <c r="G18" s="412">
        <v>0</v>
      </c>
      <c r="H18" s="412">
        <v>0</v>
      </c>
      <c r="I18" s="416">
        <v>0</v>
      </c>
      <c r="J18" s="403"/>
    </row>
    <row r="19" spans="1:10" ht="24" customHeight="1">
      <c r="A19" s="407">
        <v>10</v>
      </c>
      <c r="B19" s="423" t="s">
        <v>1719</v>
      </c>
      <c r="C19" s="409" t="s">
        <v>1715</v>
      </c>
      <c r="D19" s="410">
        <v>0</v>
      </c>
      <c r="E19" s="412">
        <v>0</v>
      </c>
      <c r="F19" s="412">
        <v>0</v>
      </c>
      <c r="G19" s="412">
        <v>0</v>
      </c>
      <c r="H19" s="412">
        <v>0</v>
      </c>
      <c r="I19" s="416">
        <v>0</v>
      </c>
      <c r="J19" s="403"/>
    </row>
    <row r="20" spans="1:10" ht="15" customHeight="1">
      <c r="A20" s="407">
        <v>11</v>
      </c>
      <c r="B20" s="408" t="s">
        <v>1720</v>
      </c>
      <c r="C20" s="409" t="s">
        <v>1715</v>
      </c>
      <c r="D20" s="410">
        <v>0</v>
      </c>
      <c r="E20" s="412">
        <v>0</v>
      </c>
      <c r="F20" s="412">
        <v>0</v>
      </c>
      <c r="G20" s="412">
        <v>0</v>
      </c>
      <c r="H20" s="412">
        <v>0</v>
      </c>
      <c r="I20" s="416">
        <v>0</v>
      </c>
      <c r="J20" s="403"/>
    </row>
    <row r="21" spans="1:10" ht="15" customHeight="1">
      <c r="A21" s="407">
        <v>12</v>
      </c>
      <c r="B21" s="408" t="s">
        <v>1721</v>
      </c>
      <c r="C21" s="409" t="s">
        <v>1715</v>
      </c>
      <c r="D21" s="410">
        <v>0</v>
      </c>
      <c r="E21" s="412">
        <v>0</v>
      </c>
      <c r="F21" s="412">
        <v>0</v>
      </c>
      <c r="G21" s="412">
        <v>0</v>
      </c>
      <c r="H21" s="412">
        <v>0</v>
      </c>
      <c r="I21" s="416">
        <v>0</v>
      </c>
      <c r="J21" s="403"/>
    </row>
    <row r="22" spans="1:10" ht="15" customHeight="1">
      <c r="A22" s="407">
        <v>13</v>
      </c>
      <c r="B22" s="408" t="s">
        <v>1722</v>
      </c>
      <c r="C22" s="409" t="s">
        <v>1715</v>
      </c>
      <c r="D22" s="410">
        <f aca="true" t="shared" si="2" ref="D22:I22">+D21</f>
        <v>0</v>
      </c>
      <c r="E22" s="412">
        <f t="shared" si="2"/>
        <v>0</v>
      </c>
      <c r="F22" s="412">
        <f t="shared" si="2"/>
        <v>0</v>
      </c>
      <c r="G22" s="412">
        <f t="shared" si="2"/>
        <v>0</v>
      </c>
      <c r="H22" s="412">
        <f t="shared" si="2"/>
        <v>0</v>
      </c>
      <c r="I22" s="416">
        <f t="shared" si="2"/>
        <v>0</v>
      </c>
      <c r="J22" s="403"/>
    </row>
    <row r="23" spans="1:10" ht="15" customHeight="1">
      <c r="A23" s="407">
        <v>14</v>
      </c>
      <c r="B23" s="408" t="s">
        <v>1723</v>
      </c>
      <c r="C23" s="409" t="s">
        <v>1715</v>
      </c>
      <c r="D23" s="420">
        <f>+D22+D17</f>
        <v>1215844</v>
      </c>
      <c r="E23" s="421">
        <f>+E17</f>
        <v>45516074</v>
      </c>
      <c r="F23" s="412">
        <f>+F22</f>
        <v>0</v>
      </c>
      <c r="G23" s="421">
        <f>+G17</f>
        <v>45472242</v>
      </c>
      <c r="H23" s="412">
        <f>+H22</f>
        <v>0</v>
      </c>
      <c r="I23" s="422">
        <f>+I17</f>
        <v>46909257</v>
      </c>
      <c r="J23" s="403"/>
    </row>
    <row r="24" spans="1:11" ht="15" customHeight="1">
      <c r="A24" s="407">
        <v>15</v>
      </c>
      <c r="B24" s="408" t="s">
        <v>1724</v>
      </c>
      <c r="C24" s="409" t="s">
        <v>1725</v>
      </c>
      <c r="D24" s="410">
        <v>9556</v>
      </c>
      <c r="E24" s="424">
        <v>10840.998</v>
      </c>
      <c r="F24" s="412">
        <f>+F23</f>
        <v>0</v>
      </c>
      <c r="G24" s="425">
        <v>10812.831</v>
      </c>
      <c r="H24" s="412">
        <f>+H23</f>
        <v>0</v>
      </c>
      <c r="I24" s="426">
        <v>10808.104</v>
      </c>
      <c r="J24" s="403"/>
      <c r="K24" s="427"/>
    </row>
    <row r="25" spans="1:10" ht="15" customHeight="1">
      <c r="A25" s="407">
        <v>16</v>
      </c>
      <c r="B25" s="408" t="s">
        <v>1726</v>
      </c>
      <c r="C25" s="409" t="s">
        <v>1428</v>
      </c>
      <c r="D25" s="428"/>
      <c r="E25" s="429"/>
      <c r="F25" s="430"/>
      <c r="G25" s="429"/>
      <c r="H25" s="430"/>
      <c r="I25" s="431"/>
      <c r="J25" s="403"/>
    </row>
    <row r="26" spans="1:11" ht="15" customHeight="1">
      <c r="A26" s="407">
        <v>17</v>
      </c>
      <c r="B26" s="408" t="s">
        <v>1727</v>
      </c>
      <c r="C26" s="409" t="s">
        <v>1728</v>
      </c>
      <c r="D26" s="410">
        <f>+D23/D14</f>
        <v>22632.985852568876</v>
      </c>
      <c r="E26" s="432">
        <f>+E23/E14*1000</f>
        <v>8997.931799599248</v>
      </c>
      <c r="F26" s="432" t="e">
        <f>+F23/F14*1000</f>
        <v>#DIV/0!</v>
      </c>
      <c r="G26" s="432">
        <f>+G23/G14*1000</f>
        <v>8897.516116780842</v>
      </c>
      <c r="H26" s="432" t="e">
        <f>+H23/H14*1000</f>
        <v>#DIV/0!</v>
      </c>
      <c r="I26" s="433">
        <f>+I23/I14*1000</f>
        <v>8863.194957478285</v>
      </c>
      <c r="J26" s="403"/>
      <c r="K26" s="434"/>
    </row>
    <row r="27" spans="1:10" ht="15" customHeight="1">
      <c r="A27" s="435"/>
      <c r="B27" s="436"/>
      <c r="C27" s="437"/>
      <c r="D27" s="438"/>
      <c r="E27" s="438"/>
      <c r="F27" s="438"/>
      <c r="G27" s="438"/>
      <c r="H27" s="438"/>
      <c r="I27" s="439"/>
      <c r="J27" s="403"/>
    </row>
    <row r="28" spans="1:10" ht="15" customHeight="1">
      <c r="A28" s="440"/>
      <c r="B28" s="1128" t="s">
        <v>1371</v>
      </c>
      <c r="C28" s="1128"/>
      <c r="D28" s="1128"/>
      <c r="E28" s="1128"/>
      <c r="F28" s="1128"/>
      <c r="G28" s="441">
        <f>+(E26+G26+I26)/3</f>
        <v>8919.547624619458</v>
      </c>
      <c r="H28" s="395"/>
      <c r="I28" s="442"/>
      <c r="J28" s="403"/>
    </row>
    <row r="29" spans="1:10" ht="18.75" customHeight="1">
      <c r="A29" s="440"/>
      <c r="B29" s="1129" t="s">
        <v>1729</v>
      </c>
      <c r="C29" s="1130"/>
      <c r="D29" s="1130"/>
      <c r="E29" s="1130"/>
      <c r="F29" s="1130"/>
      <c r="G29" s="395"/>
      <c r="H29" s="395"/>
      <c r="I29" s="443"/>
      <c r="J29" s="403"/>
    </row>
    <row r="30" spans="1:10" ht="18.75" customHeight="1">
      <c r="A30" s="440"/>
      <c r="B30" s="395" t="s">
        <v>1730</v>
      </c>
      <c r="C30" s="395"/>
      <c r="D30" s="209"/>
      <c r="E30" s="209"/>
      <c r="F30" s="209"/>
      <c r="G30" s="444"/>
      <c r="H30" s="444"/>
      <c r="I30" s="445"/>
      <c r="J30" s="403"/>
    </row>
    <row r="31" spans="1:10" ht="15" customHeight="1">
      <c r="A31" s="440"/>
      <c r="B31" s="395"/>
      <c r="C31" s="395"/>
      <c r="D31" s="209"/>
      <c r="E31" s="209"/>
      <c r="F31" s="209"/>
      <c r="G31" s="444"/>
      <c r="H31" s="446" t="s">
        <v>1731</v>
      </c>
      <c r="I31" s="445"/>
      <c r="J31" s="403"/>
    </row>
    <row r="32" spans="1:10" ht="15" customHeight="1">
      <c r="A32" s="447"/>
      <c r="B32" s="448"/>
      <c r="C32" s="448"/>
      <c r="D32" s="449"/>
      <c r="E32" s="449"/>
      <c r="F32" s="449"/>
      <c r="G32" s="450"/>
      <c r="H32" s="450"/>
      <c r="I32" s="451" t="s">
        <v>1731</v>
      </c>
      <c r="J32" s="403"/>
    </row>
    <row r="33" spans="1:5" ht="15" customHeight="1">
      <c r="A33" s="209"/>
      <c r="B33" s="209"/>
      <c r="C33" s="209"/>
      <c r="D33" s="209"/>
      <c r="E33" s="209"/>
    </row>
  </sheetData>
  <sheetProtection/>
  <mergeCells count="5">
    <mergeCell ref="H2:I2"/>
    <mergeCell ref="B3:G3"/>
    <mergeCell ref="C4:G4"/>
    <mergeCell ref="B28:F28"/>
    <mergeCell ref="B29:F29"/>
  </mergeCells>
  <printOptions/>
  <pageMargins left="0.75" right="0.75" top="1" bottom="1" header="0.5" footer="0.5"/>
  <pageSetup horizontalDpi="600" verticalDpi="600" orientation="portrait" scale="72" r:id="rId1"/>
</worksheet>
</file>

<file path=xl/worksheets/sheet37.xml><?xml version="1.0" encoding="utf-8"?>
<worksheet xmlns="http://schemas.openxmlformats.org/spreadsheetml/2006/main" xmlns:r="http://schemas.openxmlformats.org/officeDocument/2006/relationships">
  <dimension ref="B4:J40"/>
  <sheetViews>
    <sheetView view="pageBreakPreview" zoomScaleSheetLayoutView="100" zoomScalePageLayoutView="0" workbookViewId="0" topLeftCell="A1">
      <selection activeCell="F26" sqref="F26"/>
    </sheetView>
  </sheetViews>
  <sheetFormatPr defaultColWidth="9.33203125" defaultRowHeight="12.75"/>
  <cols>
    <col min="1" max="1" width="9.33203125" style="90" customWidth="1"/>
    <col min="2" max="2" width="5.66015625" style="90" customWidth="1"/>
    <col min="3" max="3" width="34.16015625" style="90" customWidth="1"/>
    <col min="4" max="4" width="17" style="90" customWidth="1"/>
    <col min="5" max="5" width="20.16015625" style="90" customWidth="1"/>
    <col min="6" max="6" width="19.16015625" style="90" customWidth="1"/>
    <col min="7" max="7" width="12" style="90" hidden="1" customWidth="1"/>
    <col min="8" max="9" width="0" style="90" hidden="1" customWidth="1"/>
    <col min="10" max="16384" width="9.33203125" style="90" customWidth="1"/>
  </cols>
  <sheetData>
    <row r="4" s="198" customFormat="1" ht="12.75">
      <c r="J4" s="198" t="s">
        <v>1669</v>
      </c>
    </row>
    <row r="5" spans="3:4" ht="12.75">
      <c r="C5" s="198" t="s">
        <v>1497</v>
      </c>
      <c r="D5" s="198" t="s">
        <v>1404</v>
      </c>
    </row>
    <row r="6" ht="12.75">
      <c r="C6" s="198" t="s">
        <v>1670</v>
      </c>
    </row>
    <row r="7" s="198" customFormat="1" ht="12.75"/>
    <row r="8" s="198" customFormat="1" ht="12.75">
      <c r="C8" s="198" t="s">
        <v>1498</v>
      </c>
    </row>
    <row r="9" spans="3:10" s="198" customFormat="1" ht="12.75">
      <c r="C9" s="198" t="s">
        <v>1671</v>
      </c>
      <c r="J9" s="198" t="s">
        <v>1477</v>
      </c>
    </row>
    <row r="10" s="198" customFormat="1" ht="12.75" hidden="1"/>
    <row r="11" s="198" customFormat="1" ht="12.75"/>
    <row r="12" s="198" customFormat="1" ht="12.75" hidden="1"/>
    <row r="13" s="198" customFormat="1" ht="12.75" hidden="1"/>
    <row r="14" s="198" customFormat="1" ht="12.75">
      <c r="C14" s="198" t="s">
        <v>1672</v>
      </c>
    </row>
    <row r="15" s="198" customFormat="1" ht="12.75">
      <c r="J15" s="198" t="s">
        <v>1673</v>
      </c>
    </row>
    <row r="16" spans="2:9" s="198" customFormat="1" ht="38.25">
      <c r="B16" s="330" t="s">
        <v>1400</v>
      </c>
      <c r="C16" s="330" t="s">
        <v>1355</v>
      </c>
      <c r="D16" s="391" t="s">
        <v>1674</v>
      </c>
      <c r="E16" s="232" t="s">
        <v>1675</v>
      </c>
      <c r="F16" s="232" t="s">
        <v>1676</v>
      </c>
      <c r="G16" s="330" t="s">
        <v>1677</v>
      </c>
      <c r="H16" s="330" t="s">
        <v>1678</v>
      </c>
      <c r="I16" s="330" t="s">
        <v>1679</v>
      </c>
    </row>
    <row r="17" spans="2:9" ht="12.75">
      <c r="B17" s="225"/>
      <c r="C17" s="225"/>
      <c r="D17" s="330" t="s">
        <v>1680</v>
      </c>
      <c r="E17" s="225"/>
      <c r="F17" s="225"/>
      <c r="G17" s="225"/>
      <c r="H17" s="225"/>
      <c r="I17" s="225"/>
    </row>
    <row r="18" spans="2:9" ht="12.75">
      <c r="B18" s="225">
        <v>1</v>
      </c>
      <c r="C18" s="250" t="s">
        <v>1681</v>
      </c>
      <c r="D18" s="319">
        <f>'[1]HR 19-20'!O42</f>
        <v>254.70012</v>
      </c>
      <c r="E18" s="319">
        <v>242</v>
      </c>
      <c r="F18" s="319">
        <v>242</v>
      </c>
      <c r="G18" s="225"/>
      <c r="H18" s="225"/>
      <c r="I18" s="225"/>
    </row>
    <row r="19" spans="2:9" ht="12.75">
      <c r="B19" s="225">
        <v>2</v>
      </c>
      <c r="C19" s="250" t="s">
        <v>1682</v>
      </c>
      <c r="D19" s="217">
        <f>'[1]HR 19-20'!P43</f>
        <v>5.695796923849113</v>
      </c>
      <c r="E19" s="217">
        <f>'[5]Tariff calc 17-18 '!K12</f>
        <v>5</v>
      </c>
      <c r="F19" s="217">
        <v>6</v>
      </c>
      <c r="G19" s="225"/>
      <c r="H19" s="225"/>
      <c r="I19" s="225"/>
    </row>
    <row r="20" spans="2:9" ht="12.75">
      <c r="B20" s="225">
        <v>3</v>
      </c>
      <c r="C20" s="250" t="s">
        <v>1683</v>
      </c>
      <c r="D20" s="392">
        <v>214.17</v>
      </c>
      <c r="E20" s="392">
        <v>229.9</v>
      </c>
      <c r="F20" s="392">
        <f>F18-0.06*F18</f>
        <v>227.48</v>
      </c>
      <c r="G20" s="225"/>
      <c r="H20" s="225"/>
      <c r="I20" s="225"/>
    </row>
    <row r="21" spans="2:9" ht="12.75">
      <c r="B21" s="225">
        <v>4</v>
      </c>
      <c r="C21" s="250" t="s">
        <v>1209</v>
      </c>
      <c r="D21" s="217">
        <v>317.3</v>
      </c>
      <c r="E21" s="217">
        <f>'Tariff calc 24-25'!O40*10</f>
        <v>320.90853245948784</v>
      </c>
      <c r="F21" s="217">
        <f>'Tariff calc 24-25'!P40*10</f>
        <v>329.868394438392</v>
      </c>
      <c r="G21" s="225"/>
      <c r="H21" s="225"/>
      <c r="I21" s="225"/>
    </row>
    <row r="22" spans="2:9" ht="12.75">
      <c r="B22" s="225"/>
      <c r="C22" s="250" t="s">
        <v>1684</v>
      </c>
      <c r="D22" s="217">
        <f>'[1]Tariff calc 15-16 (2)'!G36</f>
        <v>0</v>
      </c>
      <c r="E22" s="217">
        <f>'[1]Tariff calc 15-16 (2)'!H36</f>
        <v>0</v>
      </c>
      <c r="F22" s="217">
        <f>'[1]Tariff calc 15-16 (2)'!I36*10</f>
        <v>0</v>
      </c>
      <c r="G22" s="225"/>
      <c r="H22" s="225"/>
      <c r="I22" s="225"/>
    </row>
    <row r="23" spans="2:9" ht="12.75">
      <c r="B23" s="225"/>
      <c r="C23" s="250" t="s">
        <v>1685</v>
      </c>
      <c r="D23" s="217">
        <v>23.5</v>
      </c>
      <c r="E23" s="217">
        <f>'Tariff calc 24-25'!O35*10</f>
        <v>22.438000000000045</v>
      </c>
      <c r="F23" s="217">
        <f>'Tariff calc 24-25'!P35*10</f>
        <v>22.400000000000002</v>
      </c>
      <c r="G23" s="225"/>
      <c r="H23" s="225"/>
      <c r="I23" s="225"/>
    </row>
    <row r="24" spans="2:9" ht="12.75">
      <c r="B24" s="225"/>
      <c r="C24" s="250" t="s">
        <v>1686</v>
      </c>
      <c r="D24" s="214"/>
      <c r="E24" s="214"/>
      <c r="F24" s="214"/>
      <c r="G24" s="225"/>
      <c r="H24" s="225"/>
      <c r="I24" s="225"/>
    </row>
    <row r="25" spans="2:9" ht="12.75">
      <c r="B25" s="225"/>
      <c r="C25" s="250" t="s">
        <v>1687</v>
      </c>
      <c r="D25" s="217">
        <v>151</v>
      </c>
      <c r="E25" s="217">
        <f>'Tariff calc 24-25'!O39*10</f>
        <v>161.265</v>
      </c>
      <c r="F25" s="217">
        <f>'Tariff calc 24-25'!P39*10</f>
        <v>172.2</v>
      </c>
      <c r="G25" s="225"/>
      <c r="H25" s="225"/>
      <c r="I25" s="225"/>
    </row>
    <row r="26" spans="2:9" ht="12.75">
      <c r="B26" s="225"/>
      <c r="C26" s="250" t="s">
        <v>1688</v>
      </c>
      <c r="D26" s="217">
        <v>34</v>
      </c>
      <c r="E26" s="217">
        <f>'Tariff calc 24-25'!O38*10</f>
        <v>29.326314859487816</v>
      </c>
      <c r="F26" s="217">
        <f>'Tariff calc 24-25'!P50*10</f>
        <v>27.38917683839201</v>
      </c>
      <c r="G26" s="225"/>
      <c r="H26" s="225"/>
      <c r="I26" s="225"/>
    </row>
    <row r="27" spans="2:9" ht="25.5">
      <c r="B27" s="225"/>
      <c r="C27" s="250" t="s">
        <v>1689</v>
      </c>
      <c r="D27" s="214"/>
      <c r="E27" s="214"/>
      <c r="F27" s="214"/>
      <c r="G27" s="225"/>
      <c r="H27" s="225"/>
      <c r="I27" s="225"/>
    </row>
    <row r="28" spans="2:9" ht="12.75">
      <c r="B28" s="225"/>
      <c r="C28" s="250" t="s">
        <v>1690</v>
      </c>
      <c r="D28" s="217">
        <v>108.8</v>
      </c>
      <c r="E28" s="217">
        <v>108.8</v>
      </c>
      <c r="F28" s="217">
        <f>'Tariff calc 24-25'!P37*10</f>
        <v>107.8792176</v>
      </c>
      <c r="G28" s="393">
        <f>+'[1]Tariff calc(2012-13)'!O37*10</f>
        <v>0</v>
      </c>
      <c r="H28" s="393">
        <f>+'[1]Tariff calc(2012-13)'!P37*10</f>
        <v>0</v>
      </c>
      <c r="I28" s="393">
        <f>+'[1]Tariff calc(2012-13)'!Q37*10</f>
        <v>0</v>
      </c>
    </row>
    <row r="29" spans="2:9" ht="12.75">
      <c r="B29" s="225"/>
      <c r="C29" s="250" t="s">
        <v>1691</v>
      </c>
      <c r="D29" s="214"/>
      <c r="E29" s="214"/>
      <c r="F29" s="214"/>
      <c r="G29" s="225"/>
      <c r="H29" s="225"/>
      <c r="I29" s="225"/>
    </row>
    <row r="30" spans="2:9" ht="25.5">
      <c r="B30" s="225">
        <v>5</v>
      </c>
      <c r="C30" s="250" t="s">
        <v>1692</v>
      </c>
      <c r="D30" s="217">
        <f>'Tariff calc 24-25'!N32*D20/100</f>
        <v>567.807504</v>
      </c>
      <c r="E30" s="217">
        <f>'Tariff calc 24-25'!O32*E20/100</f>
        <v>720.64454</v>
      </c>
      <c r="F30" s="217">
        <f>'Tariff calc 24-25'!P32*F20/100</f>
        <v>449.8417</v>
      </c>
      <c r="G30" s="225"/>
      <c r="H30" s="225"/>
      <c r="I30" s="225"/>
    </row>
    <row r="31" spans="2:9" ht="25.5">
      <c r="B31" s="225">
        <v>6</v>
      </c>
      <c r="C31" s="250" t="s">
        <v>1693</v>
      </c>
      <c r="D31" s="217">
        <f>+D30+D21</f>
        <v>885.1075040000001</v>
      </c>
      <c r="E31" s="217">
        <f>+E30+E21</f>
        <v>1041.5530724594878</v>
      </c>
      <c r="F31" s="217">
        <v>921.78</v>
      </c>
      <c r="G31" s="225"/>
      <c r="H31" s="225"/>
      <c r="I31" s="225"/>
    </row>
    <row r="32" spans="2:9" ht="12.75">
      <c r="B32" s="225">
        <v>7</v>
      </c>
      <c r="C32" s="250" t="s">
        <v>1694</v>
      </c>
      <c r="D32" s="394">
        <f>+D31/D20</f>
        <v>4.132733361348462</v>
      </c>
      <c r="E32" s="394">
        <f>+E31/E20</f>
        <v>4.530461385208733</v>
      </c>
      <c r="F32" s="394">
        <f>+F31/F20</f>
        <v>4.052136451556181</v>
      </c>
      <c r="G32" s="225"/>
      <c r="H32" s="225"/>
      <c r="I32" s="225"/>
    </row>
    <row r="33" ht="12.75">
      <c r="C33" s="248"/>
    </row>
    <row r="34" ht="12.75">
      <c r="C34" s="90" t="s">
        <v>1695</v>
      </c>
    </row>
    <row r="35" spans="3:6" ht="33" customHeight="1">
      <c r="C35" s="1131" t="s">
        <v>1696</v>
      </c>
      <c r="D35" s="1131"/>
      <c r="E35" s="1131"/>
      <c r="F35" s="1131"/>
    </row>
    <row r="36" ht="12.75">
      <c r="B36" s="90" t="s">
        <v>1371</v>
      </c>
    </row>
    <row r="37" ht="12.75">
      <c r="B37" s="90" t="s">
        <v>1697</v>
      </c>
    </row>
    <row r="39" spans="2:6" ht="12.75" customHeight="1">
      <c r="B39" s="1132"/>
      <c r="C39" s="1132"/>
      <c r="D39" s="1132"/>
      <c r="E39" s="1132"/>
      <c r="F39" s="1132"/>
    </row>
    <row r="40" spans="2:6" ht="40.5" customHeight="1">
      <c r="B40" s="1132"/>
      <c r="C40" s="1132"/>
      <c r="D40" s="1132"/>
      <c r="E40" s="1132"/>
      <c r="F40" s="1132"/>
    </row>
  </sheetData>
  <sheetProtection/>
  <mergeCells count="2">
    <mergeCell ref="C35:F35"/>
    <mergeCell ref="B39:F40"/>
  </mergeCells>
  <printOptions/>
  <pageMargins left="0.64" right="0.57" top="1" bottom="1" header="0.5" footer="0.5"/>
  <pageSetup horizontalDpi="600" verticalDpi="600" orientation="portrait" scale="85" r:id="rId1"/>
</worksheet>
</file>

<file path=xl/worksheets/sheet38.xml><?xml version="1.0" encoding="utf-8"?>
<worksheet xmlns="http://schemas.openxmlformats.org/spreadsheetml/2006/main" xmlns:r="http://schemas.openxmlformats.org/officeDocument/2006/relationships">
  <dimension ref="A2:O93"/>
  <sheetViews>
    <sheetView view="pageBreakPreview" zoomScaleSheetLayoutView="100" zoomScalePageLayoutView="0" workbookViewId="0" topLeftCell="A1">
      <selection activeCell="A3" sqref="A3:J89"/>
    </sheetView>
  </sheetViews>
  <sheetFormatPr defaultColWidth="9.33203125" defaultRowHeight="12.75"/>
  <cols>
    <col min="1" max="2" width="9.33203125" style="90" customWidth="1"/>
    <col min="3" max="3" width="42.5" style="90" customWidth="1"/>
    <col min="4" max="4" width="0" style="90" hidden="1" customWidth="1"/>
    <col min="5" max="5" width="9.5" style="90" hidden="1" customWidth="1"/>
    <col min="6" max="6" width="17.66015625" style="90" customWidth="1"/>
    <col min="7" max="7" width="12.5" style="90" hidden="1" customWidth="1"/>
    <col min="8" max="8" width="16.16015625" style="90" customWidth="1"/>
    <col min="9" max="9" width="16.5" style="90" customWidth="1"/>
    <col min="10" max="16384" width="9.33203125" style="90" customWidth="1"/>
  </cols>
  <sheetData>
    <row r="2" spans="3:6" ht="18">
      <c r="C2" s="376"/>
      <c r="D2" s="281"/>
      <c r="E2" s="281"/>
      <c r="F2" s="377"/>
    </row>
    <row r="4" spans="2:9" ht="12.75">
      <c r="B4" s="369"/>
      <c r="H4" s="198" t="s">
        <v>1601</v>
      </c>
      <c r="I4" s="198"/>
    </row>
    <row r="8" spans="3:6" ht="12.75">
      <c r="C8" s="90" t="s">
        <v>1405</v>
      </c>
      <c r="F8" s="198" t="s">
        <v>1404</v>
      </c>
    </row>
    <row r="9" spans="3:6" ht="12.75">
      <c r="C9" s="90" t="s">
        <v>1576</v>
      </c>
      <c r="F9" s="198" t="s">
        <v>1402</v>
      </c>
    </row>
    <row r="12" ht="12.75">
      <c r="C12" s="90" t="s">
        <v>1602</v>
      </c>
    </row>
    <row r="15" spans="3:9" ht="18.75" customHeight="1">
      <c r="C15" s="231" t="s">
        <v>1355</v>
      </c>
      <c r="D15" s="378"/>
      <c r="E15" s="379"/>
      <c r="F15" s="380" t="s">
        <v>1463</v>
      </c>
      <c r="G15" s="1366" t="s">
        <v>1603</v>
      </c>
      <c r="H15" s="1367"/>
      <c r="I15" s="231" t="s">
        <v>1543</v>
      </c>
    </row>
    <row r="16" spans="3:9" ht="12.75">
      <c r="C16" s="225"/>
      <c r="D16" s="225"/>
      <c r="E16" s="225"/>
      <c r="F16" s="381" t="s">
        <v>1358</v>
      </c>
      <c r="G16" s="213" t="s">
        <v>1364</v>
      </c>
      <c r="H16" s="382" t="s">
        <v>1357</v>
      </c>
      <c r="I16" s="382" t="s">
        <v>1356</v>
      </c>
    </row>
    <row r="17" spans="3:9" ht="12.75">
      <c r="C17" s="225"/>
      <c r="D17" s="225" t="s">
        <v>1461</v>
      </c>
      <c r="E17" s="225" t="s">
        <v>1461</v>
      </c>
      <c r="F17" s="383"/>
      <c r="G17" s="225" t="s">
        <v>1604</v>
      </c>
      <c r="I17" s="384" t="s">
        <v>1605</v>
      </c>
    </row>
    <row r="18" spans="3:9" ht="12.75">
      <c r="C18" s="225"/>
      <c r="D18" s="225">
        <v>2</v>
      </c>
      <c r="E18" s="225">
        <v>3</v>
      </c>
      <c r="F18" s="383"/>
      <c r="G18" s="225">
        <v>5</v>
      </c>
      <c r="I18" s="383"/>
    </row>
    <row r="19" spans="3:9" ht="12.75">
      <c r="C19" s="225"/>
      <c r="D19" s="225"/>
      <c r="E19" s="225"/>
      <c r="F19" s="383"/>
      <c r="G19" s="225"/>
      <c r="I19" s="383"/>
    </row>
    <row r="20" spans="2:9" ht="12.75">
      <c r="B20" s="90" t="s">
        <v>1606</v>
      </c>
      <c r="C20" s="250" t="s">
        <v>1607</v>
      </c>
      <c r="D20" s="225"/>
      <c r="E20" s="225"/>
      <c r="F20" s="383"/>
      <c r="G20" s="225"/>
      <c r="I20" s="383"/>
    </row>
    <row r="21" spans="2:10" ht="12.75">
      <c r="B21" s="90">
        <v>1</v>
      </c>
      <c r="C21" s="250" t="s">
        <v>1608</v>
      </c>
      <c r="D21" s="225"/>
      <c r="E21" s="225"/>
      <c r="F21" s="383">
        <v>10244642.47</v>
      </c>
      <c r="G21" s="225"/>
      <c r="I21" s="383"/>
      <c r="J21" s="385"/>
    </row>
    <row r="22" spans="2:15" ht="12.75">
      <c r="B22" s="90">
        <v>2</v>
      </c>
      <c r="C22" s="250" t="s">
        <v>1609</v>
      </c>
      <c r="D22" s="225"/>
      <c r="E22" s="225"/>
      <c r="F22" s="383">
        <v>11893543.53</v>
      </c>
      <c r="G22" s="225"/>
      <c r="I22" s="225"/>
      <c r="J22" s="386"/>
      <c r="K22" s="90">
        <v>3.2</v>
      </c>
      <c r="L22" s="90">
        <v>3.52</v>
      </c>
      <c r="M22" s="90">
        <v>115</v>
      </c>
      <c r="N22" s="90">
        <v>-4</v>
      </c>
      <c r="O22" s="90">
        <v>7</v>
      </c>
    </row>
    <row r="23" spans="2:9" ht="12.75">
      <c r="B23" s="90">
        <v>3</v>
      </c>
      <c r="C23" s="250" t="s">
        <v>1610</v>
      </c>
      <c r="D23" s="225"/>
      <c r="E23" s="225"/>
      <c r="F23" s="383">
        <v>10068956</v>
      </c>
      <c r="G23" s="225"/>
      <c r="I23" s="225"/>
    </row>
    <row r="24" spans="2:9" ht="12.75">
      <c r="B24" s="90">
        <v>4</v>
      </c>
      <c r="C24" s="250" t="s">
        <v>1611</v>
      </c>
      <c r="D24" s="225"/>
      <c r="E24" s="225"/>
      <c r="F24" s="383">
        <v>4450965</v>
      </c>
      <c r="G24" s="225"/>
      <c r="I24" s="225"/>
    </row>
    <row r="25" spans="2:9" ht="12.75">
      <c r="B25" s="90">
        <v>5</v>
      </c>
      <c r="C25" s="250" t="s">
        <v>1612</v>
      </c>
      <c r="D25" s="225"/>
      <c r="E25" s="225"/>
      <c r="F25" s="383"/>
      <c r="G25" s="225"/>
      <c r="I25" s="225"/>
    </row>
    <row r="26" spans="3:9" ht="12.75">
      <c r="C26" s="250" t="s">
        <v>1613</v>
      </c>
      <c r="D26" s="225"/>
      <c r="E26" s="225"/>
      <c r="F26" s="383">
        <v>563496</v>
      </c>
      <c r="G26" s="225"/>
      <c r="I26" s="225"/>
    </row>
    <row r="27" spans="3:9" ht="12.75">
      <c r="C27" s="250" t="s">
        <v>1614</v>
      </c>
      <c r="D27" s="225"/>
      <c r="E27" s="225"/>
      <c r="F27" s="383">
        <v>3485281</v>
      </c>
      <c r="G27" s="225"/>
      <c r="I27" s="225"/>
    </row>
    <row r="28" spans="3:9" ht="12.75">
      <c r="C28" s="250" t="s">
        <v>1615</v>
      </c>
      <c r="D28" s="225"/>
      <c r="E28" s="225"/>
      <c r="F28" s="383">
        <v>954641</v>
      </c>
      <c r="G28" s="225"/>
      <c r="I28" s="225"/>
    </row>
    <row r="29" spans="3:9" ht="12.75">
      <c r="C29" s="250" t="s">
        <v>1616</v>
      </c>
      <c r="D29" s="225"/>
      <c r="E29" s="225"/>
      <c r="F29" s="383">
        <v>310796</v>
      </c>
      <c r="G29" s="225"/>
      <c r="I29" s="225"/>
    </row>
    <row r="30" spans="3:9" ht="12.75">
      <c r="C30" s="250" t="s">
        <v>1617</v>
      </c>
      <c r="D30" s="225"/>
      <c r="E30" s="225"/>
      <c r="F30" s="383">
        <v>943782</v>
      </c>
      <c r="G30" s="225"/>
      <c r="I30" s="225"/>
    </row>
    <row r="31" spans="3:9" ht="12.75">
      <c r="C31" s="250" t="s">
        <v>1618</v>
      </c>
      <c r="D31" s="225"/>
      <c r="E31" s="225"/>
      <c r="F31" s="383"/>
      <c r="G31" s="225"/>
      <c r="I31" s="225"/>
    </row>
    <row r="32" spans="3:9" ht="12.75">
      <c r="C32" s="250" t="s">
        <v>1619</v>
      </c>
      <c r="D32" s="225"/>
      <c r="E32" s="225"/>
      <c r="F32" s="383">
        <v>11980527</v>
      </c>
      <c r="G32" s="225"/>
      <c r="I32" s="225"/>
    </row>
    <row r="33" spans="3:9" ht="12.75">
      <c r="C33" s="250" t="s">
        <v>1620</v>
      </c>
      <c r="D33" s="225"/>
      <c r="E33" s="225"/>
      <c r="F33" s="383">
        <v>18238523</v>
      </c>
      <c r="G33" s="225"/>
      <c r="I33" s="225"/>
    </row>
    <row r="34" spans="2:9" ht="12.75">
      <c r="B34" s="90">
        <v>6</v>
      </c>
      <c r="C34" s="250" t="s">
        <v>1621</v>
      </c>
      <c r="D34" s="225"/>
      <c r="E34" s="225"/>
      <c r="F34" s="383"/>
      <c r="G34" s="225"/>
      <c r="I34" s="225"/>
    </row>
    <row r="35" spans="3:9" ht="12.75">
      <c r="C35" s="250" t="s">
        <v>1622</v>
      </c>
      <c r="D35" s="225"/>
      <c r="E35" s="225"/>
      <c r="F35" s="383">
        <v>110674598</v>
      </c>
      <c r="G35" s="225"/>
      <c r="I35" s="225"/>
    </row>
    <row r="36" spans="3:9" ht="12.75">
      <c r="C36" s="250" t="s">
        <v>1623</v>
      </c>
      <c r="D36" s="225"/>
      <c r="E36" s="225"/>
      <c r="F36" s="383"/>
      <c r="G36" s="225"/>
      <c r="I36" s="225"/>
    </row>
    <row r="37" spans="3:9" ht="12.75">
      <c r="C37" s="250" t="s">
        <v>1624</v>
      </c>
      <c r="D37" s="225"/>
      <c r="E37" s="225"/>
      <c r="F37" s="383"/>
      <c r="G37" s="225"/>
      <c r="I37" s="225"/>
    </row>
    <row r="38" spans="3:9" ht="12.75">
      <c r="C38" s="250" t="s">
        <v>1625</v>
      </c>
      <c r="D38" s="225"/>
      <c r="E38" s="225"/>
      <c r="F38" s="383"/>
      <c r="G38" s="225"/>
      <c r="I38" s="225"/>
    </row>
    <row r="39" spans="3:9" ht="12.75">
      <c r="C39" s="250" t="s">
        <v>1626</v>
      </c>
      <c r="D39" s="225"/>
      <c r="E39" s="225"/>
      <c r="F39" s="383"/>
      <c r="G39" s="225"/>
      <c r="I39" s="225"/>
    </row>
    <row r="40" spans="3:9" ht="12.75">
      <c r="C40" s="250" t="s">
        <v>1627</v>
      </c>
      <c r="D40" s="225"/>
      <c r="E40" s="225"/>
      <c r="F40" s="383"/>
      <c r="G40" s="225"/>
      <c r="I40" s="225"/>
    </row>
    <row r="41" spans="3:9" ht="12.75">
      <c r="C41" s="250" t="s">
        <v>1628</v>
      </c>
      <c r="D41" s="225"/>
      <c r="E41" s="225"/>
      <c r="F41" s="383"/>
      <c r="G41" s="225"/>
      <c r="I41" s="225"/>
    </row>
    <row r="42" spans="3:9" ht="12.75">
      <c r="C42" s="250" t="s">
        <v>1629</v>
      </c>
      <c r="D42" s="225"/>
      <c r="E42" s="225"/>
      <c r="F42" s="383"/>
      <c r="G42" s="225"/>
      <c r="I42" s="225"/>
    </row>
    <row r="43" spans="3:9" ht="25.5">
      <c r="C43" s="250" t="s">
        <v>1630</v>
      </c>
      <c r="D43" s="225"/>
      <c r="E43" s="225"/>
      <c r="F43" s="383"/>
      <c r="G43" s="225"/>
      <c r="I43" s="225"/>
    </row>
    <row r="44" spans="3:9" ht="12.75">
      <c r="C44" s="250" t="s">
        <v>1631</v>
      </c>
      <c r="D44" s="225"/>
      <c r="E44" s="225"/>
      <c r="F44" s="383">
        <v>5058867</v>
      </c>
      <c r="G44" s="225"/>
      <c r="I44" s="225"/>
    </row>
    <row r="45" spans="3:9" ht="12.75">
      <c r="C45" s="250" t="s">
        <v>1632</v>
      </c>
      <c r="D45" s="225"/>
      <c r="E45" s="225"/>
      <c r="F45" s="383"/>
      <c r="G45" s="225"/>
      <c r="I45" s="225"/>
    </row>
    <row r="46" spans="3:9" ht="12.75">
      <c r="C46" s="250" t="s">
        <v>1382</v>
      </c>
      <c r="D46" s="225"/>
      <c r="E46" s="225"/>
      <c r="F46" s="383"/>
      <c r="G46" s="225"/>
      <c r="I46" s="225"/>
    </row>
    <row r="47" spans="3:9" ht="25.5">
      <c r="C47" s="250" t="s">
        <v>1633</v>
      </c>
      <c r="D47" s="225"/>
      <c r="E47" s="225"/>
      <c r="F47" s="383">
        <v>1406787</v>
      </c>
      <c r="G47" s="225"/>
      <c r="I47" s="225"/>
    </row>
    <row r="48" spans="3:9" ht="12.75">
      <c r="C48" s="250" t="s">
        <v>1634</v>
      </c>
      <c r="D48" s="225"/>
      <c r="E48" s="225"/>
      <c r="F48" s="383"/>
      <c r="G48" s="225"/>
      <c r="I48" s="225"/>
    </row>
    <row r="49" spans="3:9" ht="12.75">
      <c r="C49" s="250" t="s">
        <v>1635</v>
      </c>
      <c r="D49" s="225"/>
      <c r="E49" s="225"/>
      <c r="F49" s="383">
        <v>9462177</v>
      </c>
      <c r="G49" s="225"/>
      <c r="I49" s="225"/>
    </row>
    <row r="50" spans="3:9" ht="12.75">
      <c r="C50" s="250" t="s">
        <v>1636</v>
      </c>
      <c r="D50" s="225"/>
      <c r="E50" s="225"/>
      <c r="F50" s="383"/>
      <c r="G50" s="225"/>
      <c r="I50" s="225"/>
    </row>
    <row r="51" spans="3:9" ht="12.75">
      <c r="C51" s="250" t="s">
        <v>1637</v>
      </c>
      <c r="D51" s="225"/>
      <c r="E51" s="225"/>
      <c r="F51" s="383"/>
      <c r="G51" s="225"/>
      <c r="I51" s="225"/>
    </row>
    <row r="52" spans="3:9" ht="12.75">
      <c r="C52" s="250" t="s">
        <v>1638</v>
      </c>
      <c r="D52" s="225"/>
      <c r="E52" s="225"/>
      <c r="F52" s="383">
        <v>1425841</v>
      </c>
      <c r="G52" s="225"/>
      <c r="I52" s="225"/>
    </row>
    <row r="53" spans="3:9" ht="12.75">
      <c r="C53" s="250" t="s">
        <v>1382</v>
      </c>
      <c r="D53" s="225"/>
      <c r="E53" s="225"/>
      <c r="F53" s="383"/>
      <c r="G53" s="225"/>
      <c r="I53" s="225"/>
    </row>
    <row r="54" spans="3:9" ht="12.75">
      <c r="C54" s="250" t="s">
        <v>1639</v>
      </c>
      <c r="D54" s="225"/>
      <c r="E54" s="225"/>
      <c r="F54" s="383"/>
      <c r="G54" s="225"/>
      <c r="I54" s="225"/>
    </row>
    <row r="55" spans="3:9" ht="12.75">
      <c r="C55" s="250" t="s">
        <v>1640</v>
      </c>
      <c r="D55" s="225"/>
      <c r="E55" s="225"/>
      <c r="F55" s="383"/>
      <c r="G55" s="225"/>
      <c r="I55" s="225"/>
    </row>
    <row r="56" spans="3:9" ht="12.75">
      <c r="C56" s="250" t="s">
        <v>1641</v>
      </c>
      <c r="D56" s="225"/>
      <c r="E56" s="225"/>
      <c r="F56" s="383"/>
      <c r="G56" s="225"/>
      <c r="I56" s="225"/>
    </row>
    <row r="57" spans="3:9" ht="12.75">
      <c r="C57" s="250" t="s">
        <v>1642</v>
      </c>
      <c r="D57" s="225"/>
      <c r="E57" s="225"/>
      <c r="F57" s="383"/>
      <c r="G57" s="225"/>
      <c r="I57" s="225"/>
    </row>
    <row r="58" spans="3:9" ht="12.75">
      <c r="C58" s="250" t="s">
        <v>1643</v>
      </c>
      <c r="D58" s="225"/>
      <c r="E58" s="225"/>
      <c r="F58" s="383"/>
      <c r="G58" s="225"/>
      <c r="I58" s="225"/>
    </row>
    <row r="59" spans="3:9" ht="12.75">
      <c r="C59" s="250" t="s">
        <v>1644</v>
      </c>
      <c r="D59" s="225"/>
      <c r="E59" s="225"/>
      <c r="F59" s="383"/>
      <c r="G59" s="225"/>
      <c r="I59" s="225"/>
    </row>
    <row r="60" spans="3:9" ht="12.75">
      <c r="C60" s="250" t="s">
        <v>1382</v>
      </c>
      <c r="D60" s="225"/>
      <c r="E60" s="225"/>
      <c r="F60" s="383"/>
      <c r="G60" s="225"/>
      <c r="I60" s="225"/>
    </row>
    <row r="61" spans="3:9" ht="12.75">
      <c r="C61" s="250" t="s">
        <v>1645</v>
      </c>
      <c r="D61" s="225"/>
      <c r="E61" s="225"/>
      <c r="F61" s="383">
        <v>128028270</v>
      </c>
      <c r="G61" s="225"/>
      <c r="I61" s="225"/>
    </row>
    <row r="62" spans="2:9" ht="25.5">
      <c r="B62" s="90">
        <v>7</v>
      </c>
      <c r="C62" s="250" t="s">
        <v>1646</v>
      </c>
      <c r="D62" s="225"/>
      <c r="E62" s="225"/>
      <c r="F62" s="383"/>
      <c r="G62" s="225"/>
      <c r="I62" s="225"/>
    </row>
    <row r="63" spans="2:9" ht="12.75">
      <c r="B63" s="90">
        <v>8</v>
      </c>
      <c r="C63" s="250" t="s">
        <v>1647</v>
      </c>
      <c r="D63" s="225"/>
      <c r="E63" s="225"/>
      <c r="F63" s="383">
        <v>182924900</v>
      </c>
      <c r="G63" s="225"/>
      <c r="I63" s="225"/>
    </row>
    <row r="64" spans="3:9" ht="12.75">
      <c r="C64" s="250" t="s">
        <v>1648</v>
      </c>
      <c r="D64" s="225"/>
      <c r="E64" s="225"/>
      <c r="F64" s="383"/>
      <c r="G64" s="225"/>
      <c r="I64" s="225"/>
    </row>
    <row r="65" spans="3:9" ht="12.75">
      <c r="C65" s="330" t="s">
        <v>1649</v>
      </c>
      <c r="D65" s="225"/>
      <c r="E65" s="225"/>
      <c r="F65" s="383"/>
      <c r="G65" s="225"/>
      <c r="I65" s="225"/>
    </row>
    <row r="66" spans="8:9" ht="12.75">
      <c r="H66" s="387"/>
      <c r="I66" s="387"/>
    </row>
    <row r="67" spans="3:9" ht="12.75">
      <c r="C67" s="90" t="s">
        <v>1650</v>
      </c>
      <c r="H67" s="387"/>
      <c r="I67" s="387"/>
    </row>
    <row r="68" spans="3:9" ht="12.75">
      <c r="C68" s="90" t="s">
        <v>1651</v>
      </c>
      <c r="H68" s="387"/>
      <c r="I68" s="387"/>
    </row>
    <row r="69" spans="3:9" ht="12.75">
      <c r="C69" s="90" t="s">
        <v>1652</v>
      </c>
      <c r="H69" s="387"/>
      <c r="I69" s="387"/>
    </row>
    <row r="70" spans="3:9" ht="12.75">
      <c r="C70" s="90" t="s">
        <v>1653</v>
      </c>
      <c r="H70" s="387"/>
      <c r="I70" s="387"/>
    </row>
    <row r="71" spans="8:9" ht="12.75">
      <c r="H71" s="387"/>
      <c r="I71" s="387"/>
    </row>
    <row r="72" spans="2:9" ht="12.75">
      <c r="B72" s="90" t="s">
        <v>1457</v>
      </c>
      <c r="C72" s="250" t="s">
        <v>1654</v>
      </c>
      <c r="D72" s="225"/>
      <c r="E72" s="225"/>
      <c r="F72" s="225"/>
      <c r="G72" s="225"/>
      <c r="H72" s="383"/>
      <c r="I72" s="383"/>
    </row>
    <row r="73" spans="3:9" ht="12.75">
      <c r="C73" s="250" t="s">
        <v>1655</v>
      </c>
      <c r="D73" s="225"/>
      <c r="E73" s="225"/>
      <c r="F73" s="225"/>
      <c r="G73" s="225"/>
      <c r="H73" s="383"/>
      <c r="I73" s="383"/>
    </row>
    <row r="74" spans="3:9" ht="12.75">
      <c r="C74" s="250" t="s">
        <v>1656</v>
      </c>
      <c r="D74" s="225"/>
      <c r="E74" s="225"/>
      <c r="F74" s="225"/>
      <c r="G74" s="225"/>
      <c r="H74" s="383"/>
      <c r="I74" s="383"/>
    </row>
    <row r="75" spans="3:9" ht="12.75">
      <c r="C75" s="250" t="s">
        <v>1657</v>
      </c>
      <c r="D75" s="225"/>
      <c r="E75" s="225"/>
      <c r="F75" s="225"/>
      <c r="G75" s="225"/>
      <c r="H75" s="383"/>
      <c r="I75" s="383"/>
    </row>
    <row r="76" spans="3:9" ht="12.75">
      <c r="C76" s="250" t="s">
        <v>1658</v>
      </c>
      <c r="D76" s="225"/>
      <c r="E76" s="225"/>
      <c r="F76" s="225"/>
      <c r="G76" s="225"/>
      <c r="H76" s="383"/>
      <c r="I76" s="383"/>
    </row>
    <row r="77" spans="3:9" ht="12.75">
      <c r="C77" s="250" t="s">
        <v>1659</v>
      </c>
      <c r="D77" s="225"/>
      <c r="E77" s="225"/>
      <c r="F77" s="225"/>
      <c r="G77" s="225"/>
      <c r="H77" s="383"/>
      <c r="I77" s="383"/>
    </row>
    <row r="78" spans="3:9" ht="12.75">
      <c r="C78" s="250" t="s">
        <v>1660</v>
      </c>
      <c r="D78" s="225"/>
      <c r="E78" s="225"/>
      <c r="F78" s="225" t="s">
        <v>1510</v>
      </c>
      <c r="G78" s="225"/>
      <c r="H78" s="383"/>
      <c r="I78" s="383"/>
    </row>
    <row r="79" spans="3:9" ht="12.75">
      <c r="C79" s="250" t="s">
        <v>1661</v>
      </c>
      <c r="D79" s="225"/>
      <c r="E79" s="225"/>
      <c r="F79" s="225"/>
      <c r="G79" s="225"/>
      <c r="H79" s="383"/>
      <c r="I79" s="383"/>
    </row>
    <row r="80" spans="3:9" ht="12.75">
      <c r="C80" s="250" t="s">
        <v>1613</v>
      </c>
      <c r="D80" s="225"/>
      <c r="E80" s="225"/>
      <c r="F80" s="225"/>
      <c r="G80" s="225"/>
      <c r="H80" s="383"/>
      <c r="I80" s="383"/>
    </row>
    <row r="81" spans="3:9" ht="12.75">
      <c r="C81" s="250" t="s">
        <v>1662</v>
      </c>
      <c r="D81" s="225"/>
      <c r="E81" s="225"/>
      <c r="F81" s="225"/>
      <c r="G81" s="225"/>
      <c r="H81" s="383"/>
      <c r="I81" s="383"/>
    </row>
    <row r="82" spans="3:9" ht="12.75">
      <c r="C82" s="250" t="s">
        <v>1382</v>
      </c>
      <c r="D82" s="225"/>
      <c r="E82" s="225"/>
      <c r="F82" s="225"/>
      <c r="G82" s="225"/>
      <c r="H82" s="383"/>
      <c r="I82" s="383"/>
    </row>
    <row r="83" spans="3:9" ht="12.75">
      <c r="C83" s="250"/>
      <c r="D83" s="225"/>
      <c r="E83" s="225"/>
      <c r="F83" s="225"/>
      <c r="G83" s="225"/>
      <c r="H83" s="383"/>
      <c r="I83" s="383"/>
    </row>
    <row r="84" spans="2:9" ht="12.75">
      <c r="B84" s="90" t="s">
        <v>1453</v>
      </c>
      <c r="C84" s="250" t="s">
        <v>1663</v>
      </c>
      <c r="D84" s="225"/>
      <c r="E84" s="225"/>
      <c r="F84" s="225"/>
      <c r="G84" s="225"/>
      <c r="H84" s="383"/>
      <c r="I84" s="383"/>
    </row>
    <row r="85" spans="3:9" ht="12.75">
      <c r="C85" s="250" t="s">
        <v>1664</v>
      </c>
      <c r="D85" s="225"/>
      <c r="E85" s="225"/>
      <c r="F85" s="225">
        <v>13</v>
      </c>
      <c r="G85" s="225">
        <v>13</v>
      </c>
      <c r="H85" s="383">
        <v>13</v>
      </c>
      <c r="I85" s="383">
        <v>13</v>
      </c>
    </row>
    <row r="86" spans="3:9" ht="12.75">
      <c r="C86" s="250" t="s">
        <v>1665</v>
      </c>
      <c r="D86" s="225"/>
      <c r="E86" s="225"/>
      <c r="F86" s="225">
        <v>32</v>
      </c>
      <c r="G86" s="225">
        <v>32</v>
      </c>
      <c r="H86" s="383">
        <v>32</v>
      </c>
      <c r="I86" s="383">
        <v>32</v>
      </c>
    </row>
    <row r="87" spans="3:9" ht="12.75">
      <c r="C87" s="250" t="s">
        <v>1666</v>
      </c>
      <c r="D87" s="225"/>
      <c r="E87" s="225"/>
      <c r="F87" s="225">
        <v>66</v>
      </c>
      <c r="G87" s="225">
        <v>66</v>
      </c>
      <c r="H87" s="383">
        <v>66</v>
      </c>
      <c r="I87" s="383">
        <v>66</v>
      </c>
    </row>
    <row r="88" spans="3:9" ht="12.75">
      <c r="C88" s="250" t="s">
        <v>1667</v>
      </c>
      <c r="D88" s="225"/>
      <c r="E88" s="225"/>
      <c r="F88" s="225">
        <v>18</v>
      </c>
      <c r="G88" s="225">
        <v>18</v>
      </c>
      <c r="H88" s="383">
        <v>18</v>
      </c>
      <c r="I88" s="383">
        <v>18</v>
      </c>
    </row>
    <row r="89" spans="3:9" ht="12.75">
      <c r="C89" s="250" t="s">
        <v>1382</v>
      </c>
      <c r="D89" s="225"/>
      <c r="E89" s="225"/>
      <c r="F89" s="225">
        <f>SUM(F85:F88)</f>
        <v>129</v>
      </c>
      <c r="G89" s="225">
        <f>SUM(G85:G88)</f>
        <v>129</v>
      </c>
      <c r="H89" s="383">
        <f>SUM(H85:H88)</f>
        <v>129</v>
      </c>
      <c r="I89" s="383">
        <f>SUM(I85:I88)</f>
        <v>129</v>
      </c>
    </row>
    <row r="90" spans="1:9" ht="12.75">
      <c r="A90" s="201" t="s">
        <v>1668</v>
      </c>
      <c r="B90" s="201"/>
      <c r="C90" s="388"/>
      <c r="D90" s="389"/>
      <c r="E90" s="389"/>
      <c r="F90" s="389"/>
      <c r="G90" s="389"/>
      <c r="H90" s="389"/>
      <c r="I90" s="389"/>
    </row>
    <row r="91" spans="1:9" ht="24.75" customHeight="1">
      <c r="A91" s="390"/>
      <c r="B91" s="1134"/>
      <c r="C91" s="1134"/>
      <c r="D91" s="1134"/>
      <c r="E91" s="1134"/>
      <c r="F91" s="1134"/>
      <c r="G91" s="1134"/>
      <c r="H91" s="1134"/>
      <c r="I91" s="1134"/>
    </row>
    <row r="92" spans="1:9" ht="24.75" customHeight="1">
      <c r="A92" s="390"/>
      <c r="B92" s="1134"/>
      <c r="C92" s="1134"/>
      <c r="D92" s="1134"/>
      <c r="E92" s="1134"/>
      <c r="F92" s="1134"/>
      <c r="G92" s="1134"/>
      <c r="H92" s="1134"/>
      <c r="I92" s="1134"/>
    </row>
    <row r="93" spans="1:9" ht="12.75" customHeight="1">
      <c r="A93" s="390"/>
      <c r="B93" s="1134"/>
      <c r="C93" s="1134"/>
      <c r="D93" s="1134"/>
      <c r="E93" s="1134"/>
      <c r="F93" s="1134"/>
      <c r="G93" s="1134"/>
      <c r="H93" s="1134"/>
      <c r="I93" s="1134"/>
    </row>
  </sheetData>
  <sheetProtection/>
  <mergeCells count="4">
    <mergeCell ref="G15:H15"/>
    <mergeCell ref="B91:I91"/>
    <mergeCell ref="B92:I92"/>
    <mergeCell ref="B93:I93"/>
  </mergeCells>
  <printOptions/>
  <pageMargins left="0.75" right="0.75" top="1" bottom="1" header="0.5" footer="0.5"/>
  <pageSetup horizontalDpi="600" verticalDpi="600" orientation="portrait" scale="76" r:id="rId1"/>
</worksheet>
</file>

<file path=xl/worksheets/sheet39.xml><?xml version="1.0" encoding="utf-8"?>
<worksheet xmlns="http://schemas.openxmlformats.org/spreadsheetml/2006/main" xmlns:r="http://schemas.openxmlformats.org/officeDocument/2006/relationships">
  <dimension ref="B3:K44"/>
  <sheetViews>
    <sheetView view="pageBreakPreview" zoomScaleSheetLayoutView="100" zoomScalePageLayoutView="0" workbookViewId="0" topLeftCell="A9">
      <selection activeCell="G16" sqref="G16"/>
    </sheetView>
  </sheetViews>
  <sheetFormatPr defaultColWidth="9.33203125" defaultRowHeight="12.75"/>
  <cols>
    <col min="1" max="2" width="9.33203125" style="90" customWidth="1"/>
    <col min="3" max="3" width="37.66015625" style="90" customWidth="1"/>
    <col min="4" max="5" width="0" style="90" hidden="1" customWidth="1"/>
    <col min="6" max="6" width="7.66015625" style="90" hidden="1" customWidth="1"/>
    <col min="7" max="7" width="17.16015625" style="90" customWidth="1"/>
    <col min="8" max="8" width="22.66015625" style="90" customWidth="1"/>
    <col min="9" max="9" width="17.83203125" style="90" customWidth="1"/>
    <col min="10" max="16384" width="9.33203125" style="90" customWidth="1"/>
  </cols>
  <sheetData>
    <row r="3" spans="2:9" ht="12.75">
      <c r="B3" s="369"/>
      <c r="I3" s="198" t="s">
        <v>1575</v>
      </c>
    </row>
    <row r="5" spans="4:5" ht="12.75">
      <c r="D5" s="198"/>
      <c r="E5" s="198"/>
    </row>
    <row r="7" spans="3:7" ht="12.75">
      <c r="C7" s="90" t="s">
        <v>1493</v>
      </c>
      <c r="G7" s="198" t="s">
        <v>1404</v>
      </c>
    </row>
    <row r="8" spans="3:7" ht="12.75">
      <c r="C8" s="90" t="s">
        <v>1576</v>
      </c>
      <c r="G8" s="90" t="s">
        <v>1577</v>
      </c>
    </row>
    <row r="11" ht="12.75">
      <c r="C11" s="198" t="s">
        <v>1578</v>
      </c>
    </row>
    <row r="13" ht="12.75">
      <c r="I13" s="90" t="s">
        <v>1579</v>
      </c>
    </row>
    <row r="14" spans="2:9" ht="12.75">
      <c r="B14" s="90" t="s">
        <v>1400</v>
      </c>
      <c r="C14" s="225" t="s">
        <v>1355</v>
      </c>
      <c r="E14" s="370"/>
      <c r="F14" s="370"/>
      <c r="G14" s="371" t="s">
        <v>1463</v>
      </c>
      <c r="H14" s="371" t="s">
        <v>1462</v>
      </c>
      <c r="I14" s="371" t="s">
        <v>1543</v>
      </c>
    </row>
    <row r="15" spans="3:9" ht="12.75">
      <c r="C15" s="225"/>
      <c r="D15" s="225"/>
      <c r="E15" s="225"/>
      <c r="F15" s="225"/>
      <c r="G15" s="372" t="s">
        <v>1358</v>
      </c>
      <c r="H15" s="373" t="s">
        <v>1357</v>
      </c>
      <c r="I15" s="372" t="s">
        <v>1356</v>
      </c>
    </row>
    <row r="16" spans="2:9" ht="12.75">
      <c r="B16" s="90">
        <v>1</v>
      </c>
      <c r="C16" s="225" t="s">
        <v>1313</v>
      </c>
      <c r="D16" s="225"/>
      <c r="E16" s="225"/>
      <c r="F16" s="225"/>
      <c r="G16" s="217">
        <f>'Tariff calc 24-25'!M45</f>
        <v>4.56</v>
      </c>
      <c r="H16" s="217">
        <f>'Tariff calc 24-25'!N45</f>
        <v>5.079335505974667</v>
      </c>
      <c r="I16" s="217">
        <f>'Tariff calc 24-25'!O45</f>
        <v>6.005365754761671</v>
      </c>
    </row>
    <row r="17" spans="2:9" ht="12.75">
      <c r="B17" s="90">
        <v>2</v>
      </c>
      <c r="C17" s="225" t="s">
        <v>1580</v>
      </c>
      <c r="D17" s="225"/>
      <c r="E17" s="225"/>
      <c r="F17" s="225"/>
      <c r="G17" s="214"/>
      <c r="H17" s="214"/>
      <c r="I17" s="214"/>
    </row>
    <row r="18" spans="2:9" ht="12.75">
      <c r="B18" s="90">
        <v>3</v>
      </c>
      <c r="C18" s="225" t="s">
        <v>1581</v>
      </c>
      <c r="D18" s="225"/>
      <c r="E18" s="225"/>
      <c r="F18" s="225"/>
      <c r="G18" s="214"/>
      <c r="H18" s="214"/>
      <c r="I18" s="214"/>
    </row>
    <row r="19" spans="2:9" ht="12.75">
      <c r="B19" s="90">
        <v>4</v>
      </c>
      <c r="C19" s="225" t="s">
        <v>1582</v>
      </c>
      <c r="D19" s="225"/>
      <c r="E19" s="225"/>
      <c r="F19" s="225"/>
      <c r="G19" s="214"/>
      <c r="H19" s="214"/>
      <c r="I19" s="214"/>
    </row>
    <row r="20" spans="2:9" ht="12.75">
      <c r="B20" s="90">
        <v>5</v>
      </c>
      <c r="C20" s="225" t="s">
        <v>1583</v>
      </c>
      <c r="D20" s="225"/>
      <c r="E20" s="225"/>
      <c r="F20" s="225"/>
      <c r="G20" s="217">
        <f>'Tariff calc 24-25'!M46</f>
        <v>1.18</v>
      </c>
      <c r="H20" s="374">
        <f>'Tariff calc 24-25'!N46</f>
        <v>1.2582916666666668</v>
      </c>
      <c r="I20" s="217">
        <f>'Tariff calc 24-25'!O46</f>
        <v>1.343875</v>
      </c>
    </row>
    <row r="21" spans="2:9" ht="12.75">
      <c r="B21" s="90">
        <v>6</v>
      </c>
      <c r="C21" s="225" t="s">
        <v>1584</v>
      </c>
      <c r="D21" s="225"/>
      <c r="E21" s="225"/>
      <c r="F21" s="225"/>
      <c r="G21" s="217">
        <f>'Tariff calc 24-25'!M47</f>
        <v>4.24</v>
      </c>
      <c r="H21" s="217">
        <f>'Tariff calc 24-25'!N47</f>
        <v>4.529850000000001</v>
      </c>
      <c r="I21" s="217">
        <f>'Tariff calc 24-25'!O47</f>
        <v>4.837949999999999</v>
      </c>
    </row>
    <row r="22" spans="2:9" ht="12.75">
      <c r="B22" s="90">
        <v>7</v>
      </c>
      <c r="C22" s="225" t="s">
        <v>1310</v>
      </c>
      <c r="D22" s="225"/>
      <c r="E22" s="225"/>
      <c r="F22" s="225"/>
      <c r="G22" s="217">
        <f>'Tariff calc 24-25'!M48</f>
        <v>14.09</v>
      </c>
      <c r="H22" s="217">
        <f>'Tariff calc 24-25'!N48</f>
        <v>15.96</v>
      </c>
      <c r="I22" s="217">
        <f>'Tariff calc 24-25'!O48</f>
        <v>12.15</v>
      </c>
    </row>
    <row r="23" spans="2:9" ht="12.75">
      <c r="B23" s="90">
        <v>8</v>
      </c>
      <c r="C23" s="225" t="s">
        <v>1585</v>
      </c>
      <c r="D23" s="225"/>
      <c r="E23" s="225"/>
      <c r="F23" s="225"/>
      <c r="G23" s="217">
        <f>SUM(G16:G22)</f>
        <v>24.07</v>
      </c>
      <c r="H23" s="217">
        <f>SUM(H16:H22)</f>
        <v>26.827477172641334</v>
      </c>
      <c r="I23" s="217">
        <f>SUM(I16:I22)</f>
        <v>24.33719075476167</v>
      </c>
    </row>
    <row r="24" spans="2:9" ht="12.75">
      <c r="B24" s="90">
        <v>9</v>
      </c>
      <c r="C24" s="225" t="s">
        <v>1586</v>
      </c>
      <c r="D24" s="225"/>
      <c r="E24" s="225"/>
      <c r="F24" s="225"/>
      <c r="G24" s="217">
        <f>'Tariff calc 24-25'!M28</f>
        <v>12.15</v>
      </c>
      <c r="H24" s="217">
        <f>'Tariff calc 24-25'!N28</f>
        <v>12.55</v>
      </c>
      <c r="I24" s="217">
        <f>'[1]Tariff calc 18-19 '!M28</f>
        <v>12.75</v>
      </c>
    </row>
    <row r="25" spans="2:9" ht="12.75">
      <c r="B25" s="90">
        <v>10</v>
      </c>
      <c r="C25" s="225" t="s">
        <v>1587</v>
      </c>
      <c r="D25" s="225"/>
      <c r="E25" s="225"/>
      <c r="F25" s="225"/>
      <c r="G25" s="217">
        <f>'Tariff calc 24-25'!M38</f>
        <v>2.9245050000000004</v>
      </c>
      <c r="H25" s="217">
        <f>'Tariff calc 24-25'!N50</f>
        <v>3.3668483851664877</v>
      </c>
      <c r="I25" s="217">
        <f>'Tariff calc 24-25'!O50</f>
        <v>2.9326314859487814</v>
      </c>
    </row>
    <row r="28" ht="12.75">
      <c r="C28" s="375" t="s">
        <v>1588</v>
      </c>
    </row>
    <row r="29" spans="3:11" ht="51" customHeight="1">
      <c r="C29" s="1136" t="s">
        <v>1589</v>
      </c>
      <c r="D29" s="1136"/>
      <c r="E29" s="1136"/>
      <c r="F29" s="1136"/>
      <c r="G29" s="1136"/>
      <c r="H29" s="1136"/>
      <c r="I29" s="1136"/>
      <c r="J29" s="1136"/>
      <c r="K29" s="1136"/>
    </row>
    <row r="32" spans="3:10" ht="12.75">
      <c r="C32" s="369"/>
      <c r="J32" s="198" t="s">
        <v>1590</v>
      </c>
    </row>
    <row r="34" spans="4:7" ht="12.75">
      <c r="D34" s="90" t="s">
        <v>1497</v>
      </c>
      <c r="G34" s="198" t="s">
        <v>1404</v>
      </c>
    </row>
    <row r="35" ht="12.75">
      <c r="C35" s="201" t="s">
        <v>1591</v>
      </c>
    </row>
    <row r="36" ht="12.75">
      <c r="C36" s="198" t="s">
        <v>1592</v>
      </c>
    </row>
    <row r="37" spans="3:8" ht="12.75">
      <c r="C37" s="225" t="s">
        <v>1355</v>
      </c>
      <c r="G37" s="1135" t="s">
        <v>1593</v>
      </c>
      <c r="H37" s="1135"/>
    </row>
    <row r="38" spans="3:8" ht="12.75">
      <c r="C38" s="225"/>
      <c r="G38" s="1135"/>
      <c r="H38" s="1135"/>
    </row>
    <row r="39" spans="3:8" ht="12.75">
      <c r="C39" s="225" t="s">
        <v>1594</v>
      </c>
      <c r="G39" s="1137" t="s">
        <v>1595</v>
      </c>
      <c r="H39" s="1137"/>
    </row>
    <row r="40" spans="3:8" ht="12.75">
      <c r="C40" s="225" t="s">
        <v>1596</v>
      </c>
      <c r="D40" s="90" t="s">
        <v>1355</v>
      </c>
      <c r="G40" s="1135"/>
      <c r="H40" s="1135"/>
    </row>
    <row r="41" spans="3:8" ht="12.75">
      <c r="C41" s="225" t="s">
        <v>1597</v>
      </c>
      <c r="D41" s="90">
        <v>2</v>
      </c>
      <c r="G41" s="1135"/>
      <c r="H41" s="1135"/>
    </row>
    <row r="42" ht="12.75">
      <c r="D42" s="90" t="s">
        <v>1598</v>
      </c>
    </row>
    <row r="43" ht="12.75">
      <c r="D43" s="90" t="s">
        <v>1599</v>
      </c>
    </row>
    <row r="44" ht="12.75">
      <c r="D44" s="90" t="s">
        <v>1600</v>
      </c>
    </row>
  </sheetData>
  <sheetProtection/>
  <mergeCells count="6">
    <mergeCell ref="G41:H41"/>
    <mergeCell ref="C29:K29"/>
    <mergeCell ref="G37:H37"/>
    <mergeCell ref="G38:H38"/>
    <mergeCell ref="G39:H39"/>
    <mergeCell ref="G40:H40"/>
  </mergeCells>
  <printOptions/>
  <pageMargins left="0.75" right="0.75" top="1" bottom="1" header="0.5" footer="0.5"/>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4:J40"/>
  <sheetViews>
    <sheetView view="pageBreakPreview" zoomScaleSheetLayoutView="100" zoomScalePageLayoutView="0" workbookViewId="0" topLeftCell="A26">
      <selection activeCell="A4" sqref="A4:J37"/>
    </sheetView>
  </sheetViews>
  <sheetFormatPr defaultColWidth="9.33203125" defaultRowHeight="12.75"/>
  <cols>
    <col min="1" max="1" width="5.66015625" style="90" customWidth="1"/>
    <col min="2" max="2" width="34.16015625" style="90" customWidth="1"/>
    <col min="3" max="3" width="15.16015625" style="90" customWidth="1"/>
    <col min="4" max="4" width="17.66015625" style="90" customWidth="1"/>
    <col min="5" max="5" width="15.66015625" style="90" customWidth="1"/>
    <col min="6" max="6" width="12" style="90" hidden="1" customWidth="1"/>
    <col min="7" max="8" width="0" style="90" hidden="1" customWidth="1"/>
    <col min="9" max="9" width="12.16015625" style="90" customWidth="1"/>
    <col min="10" max="16384" width="9.33203125" style="90" customWidth="1"/>
  </cols>
  <sheetData>
    <row r="4" s="198" customFormat="1" ht="12.75">
      <c r="I4" s="198" t="s">
        <v>1669</v>
      </c>
    </row>
    <row r="5" spans="2:3" ht="12.75">
      <c r="B5" s="198" t="s">
        <v>1497</v>
      </c>
      <c r="C5" s="198" t="s">
        <v>1404</v>
      </c>
    </row>
    <row r="6" ht="12.75">
      <c r="B6" s="198" t="s">
        <v>1670</v>
      </c>
    </row>
    <row r="7" s="198" customFormat="1" ht="12.75"/>
    <row r="8" s="198" customFormat="1" ht="12.75">
      <c r="B8" s="198" t="s">
        <v>2027</v>
      </c>
    </row>
    <row r="9" spans="2:9" s="198" customFormat="1" ht="12.75">
      <c r="B9" s="198" t="s">
        <v>1671</v>
      </c>
      <c r="I9" s="198" t="s">
        <v>1477</v>
      </c>
    </row>
    <row r="10" s="198" customFormat="1" ht="12.75" hidden="1"/>
    <row r="11" s="198" customFormat="1" ht="12.75"/>
    <row r="12" s="198" customFormat="1" ht="12.75" hidden="1"/>
    <row r="13" s="198" customFormat="1" ht="12.75" hidden="1"/>
    <row r="14" s="198" customFormat="1" ht="12.75">
      <c r="B14" s="198" t="s">
        <v>1672</v>
      </c>
    </row>
    <row r="15" s="198" customFormat="1" ht="12.75">
      <c r="I15" s="198" t="s">
        <v>1673</v>
      </c>
    </row>
    <row r="16" spans="1:10" s="198" customFormat="1" ht="51">
      <c r="A16" s="330" t="s">
        <v>1400</v>
      </c>
      <c r="B16" s="330" t="s">
        <v>1355</v>
      </c>
      <c r="C16" s="232" t="s">
        <v>2017</v>
      </c>
      <c r="D16" s="232" t="s">
        <v>2018</v>
      </c>
      <c r="E16" s="232" t="s">
        <v>2024</v>
      </c>
      <c r="F16" s="330" t="s">
        <v>1677</v>
      </c>
      <c r="G16" s="330" t="s">
        <v>1678</v>
      </c>
      <c r="H16" s="330" t="s">
        <v>1679</v>
      </c>
      <c r="J16" s="233"/>
    </row>
    <row r="17" spans="1:10" ht="12.75">
      <c r="A17" s="225"/>
      <c r="B17" s="225"/>
      <c r="C17" s="225"/>
      <c r="D17" s="225"/>
      <c r="E17" s="214"/>
      <c r="F17" s="225"/>
      <c r="G17" s="225"/>
      <c r="H17" s="225"/>
      <c r="J17" s="209"/>
    </row>
    <row r="18" spans="1:10" ht="12.75">
      <c r="A18" s="225">
        <v>1</v>
      </c>
      <c r="B18" s="250" t="s">
        <v>1681</v>
      </c>
      <c r="C18" s="319">
        <v>242</v>
      </c>
      <c r="D18" s="319">
        <v>242</v>
      </c>
      <c r="E18" s="217">
        <v>242</v>
      </c>
      <c r="F18" s="225"/>
      <c r="G18" s="225"/>
      <c r="H18" s="225"/>
      <c r="J18" s="209"/>
    </row>
    <row r="19" spans="1:10" ht="12.75">
      <c r="A19" s="225">
        <v>2</v>
      </c>
      <c r="B19" s="250" t="s">
        <v>1682</v>
      </c>
      <c r="C19" s="217">
        <v>3.3</v>
      </c>
      <c r="D19" s="217">
        <v>5</v>
      </c>
      <c r="E19" s="217">
        <v>5</v>
      </c>
      <c r="F19" s="225"/>
      <c r="G19" s="225"/>
      <c r="H19" s="225"/>
      <c r="J19" s="209"/>
    </row>
    <row r="20" spans="1:10" ht="12.75">
      <c r="A20" s="225">
        <v>3</v>
      </c>
      <c r="B20" s="250" t="s">
        <v>1683</v>
      </c>
      <c r="C20" s="392">
        <v>234</v>
      </c>
      <c r="D20" s="392">
        <v>229.9</v>
      </c>
      <c r="E20" s="217">
        <v>229.9</v>
      </c>
      <c r="F20" s="225"/>
      <c r="G20" s="225"/>
      <c r="H20" s="225"/>
      <c r="J20" s="209"/>
    </row>
    <row r="21" spans="1:10" ht="12.75">
      <c r="A21" s="225">
        <v>4</v>
      </c>
      <c r="B21" s="250" t="s">
        <v>1209</v>
      </c>
      <c r="C21" s="217">
        <v>341.2</v>
      </c>
      <c r="D21" s="217">
        <v>366.6</v>
      </c>
      <c r="E21" s="217">
        <f>'Tariff calc 24-25'!S40*10</f>
        <v>386.11978348749994</v>
      </c>
      <c r="F21" s="217">
        <f>'Tariff calc 24-25'!Q40*10</f>
        <v>348.8201147828216</v>
      </c>
      <c r="G21" s="217">
        <f>'Tariff calc 24-25'!R40*10</f>
        <v>366.59711275000006</v>
      </c>
      <c r="H21" s="217">
        <f>'Tariff calc 24-25'!S40*10</f>
        <v>386.11978348749994</v>
      </c>
      <c r="J21" s="209"/>
    </row>
    <row r="22" spans="1:10" ht="12.75">
      <c r="A22" s="225"/>
      <c r="B22" s="250" t="s">
        <v>1684</v>
      </c>
      <c r="C22" s="217">
        <v>0</v>
      </c>
      <c r="D22" s="217">
        <f>'[1]Tariff calc 15-16 (2)'!I36*10</f>
        <v>0</v>
      </c>
      <c r="E22" s="217">
        <v>0</v>
      </c>
      <c r="F22" s="225"/>
      <c r="G22" s="225"/>
      <c r="H22" s="225"/>
      <c r="J22" s="209"/>
    </row>
    <row r="23" spans="1:10" ht="12.75">
      <c r="A23" s="225"/>
      <c r="B23" s="250" t="s">
        <v>1685</v>
      </c>
      <c r="C23" s="217">
        <v>22.4</v>
      </c>
      <c r="D23" s="217">
        <v>22.4</v>
      </c>
      <c r="E23" s="217">
        <f>'Tariff calc 24-25'!S35*10</f>
        <v>22.44499999999988</v>
      </c>
      <c r="F23" s="225"/>
      <c r="G23" s="225"/>
      <c r="H23" s="225"/>
      <c r="J23" s="209"/>
    </row>
    <row r="24" spans="1:10" ht="12.75">
      <c r="A24" s="225"/>
      <c r="B24" s="250" t="s">
        <v>1686</v>
      </c>
      <c r="C24" s="214"/>
      <c r="D24" s="214"/>
      <c r="E24" s="217"/>
      <c r="F24" s="225"/>
      <c r="G24" s="225"/>
      <c r="H24" s="225"/>
      <c r="J24" s="209"/>
    </row>
    <row r="25" spans="1:10" ht="12.75">
      <c r="A25" s="225"/>
      <c r="B25" s="250" t="s">
        <v>1687</v>
      </c>
      <c r="C25" s="217">
        <v>184</v>
      </c>
      <c r="D25" s="217">
        <v>196.5</v>
      </c>
      <c r="E25" s="217">
        <f>'Tariff calc 24-25'!S39*10</f>
        <v>209.82195000000004</v>
      </c>
      <c r="F25" s="225"/>
      <c r="G25" s="225"/>
      <c r="H25" s="225"/>
      <c r="J25" s="209"/>
    </row>
    <row r="26" spans="1:10" ht="12.75">
      <c r="A26" s="225"/>
      <c r="B26" s="250" t="s">
        <v>1688</v>
      </c>
      <c r="C26" s="217">
        <v>27</v>
      </c>
      <c r="D26" s="217">
        <v>37.5</v>
      </c>
      <c r="E26" s="217">
        <f>'Tariff calc 24-25'!S38*10</f>
        <v>51.65283348749999</v>
      </c>
      <c r="F26" s="225"/>
      <c r="G26" s="225"/>
      <c r="H26" s="225"/>
      <c r="J26" s="209"/>
    </row>
    <row r="27" spans="1:10" ht="25.5">
      <c r="A27" s="225"/>
      <c r="B27" s="250" t="s">
        <v>1689</v>
      </c>
      <c r="C27" s="214"/>
      <c r="D27" s="214"/>
      <c r="E27" s="217"/>
      <c r="F27" s="225"/>
      <c r="G27" s="225"/>
      <c r="H27" s="225"/>
      <c r="J27" s="209"/>
    </row>
    <row r="28" spans="1:10" ht="12.75">
      <c r="A28" s="225"/>
      <c r="B28" s="250" t="s">
        <v>1690</v>
      </c>
      <c r="C28" s="217">
        <v>107.9</v>
      </c>
      <c r="D28" s="217">
        <v>102.2</v>
      </c>
      <c r="E28" s="217">
        <f>'Tariff calc 24-25'!S37*10</f>
        <v>102.2</v>
      </c>
      <c r="F28" s="393">
        <f>+'[1]Tariff calc(2012-13)'!O37*10</f>
        <v>0</v>
      </c>
      <c r="G28" s="393">
        <f>+'[1]Tariff calc(2012-13)'!P37*10</f>
        <v>0</v>
      </c>
      <c r="H28" s="393">
        <f>+'[1]Tariff calc(2012-13)'!Q37*10</f>
        <v>0</v>
      </c>
      <c r="J28" s="209"/>
    </row>
    <row r="29" spans="1:10" ht="12.75">
      <c r="A29" s="225"/>
      <c r="B29" s="250" t="s">
        <v>1691</v>
      </c>
      <c r="C29" s="214"/>
      <c r="D29" s="214"/>
      <c r="E29" s="217"/>
      <c r="F29" s="225"/>
      <c r="G29" s="225"/>
      <c r="H29" s="225"/>
      <c r="J29" s="209"/>
    </row>
    <row r="30" spans="1:10" ht="25.5">
      <c r="A30" s="225">
        <v>5</v>
      </c>
      <c r="B30" s="250" t="s">
        <v>1692</v>
      </c>
      <c r="C30" s="217">
        <f>'Tariff calc 24-25'!P32*C20/100</f>
        <v>462.735</v>
      </c>
      <c r="D30" s="217">
        <f>'Tariff calc 24-25'!Q32*D20/100</f>
        <v>1552.1008800000002</v>
      </c>
      <c r="E30" s="217">
        <f>'Tariff calc 24-25'!S32*E20/100</f>
        <v>1712.3871600000002</v>
      </c>
      <c r="F30" s="217">
        <f>'Tariff calc 24-25'!R32*F20/100</f>
        <v>0</v>
      </c>
      <c r="G30" s="217">
        <f>'Tariff calc 24-25'!S32*G20/100</f>
        <v>0</v>
      </c>
      <c r="H30" s="217">
        <f>'Tariff calc 24-25'!T32*H20/100</f>
        <v>0</v>
      </c>
      <c r="J30" s="209"/>
    </row>
    <row r="31" spans="1:10" ht="25.5">
      <c r="A31" s="225">
        <v>6</v>
      </c>
      <c r="B31" s="250" t="s">
        <v>1693</v>
      </c>
      <c r="C31" s="217">
        <f aca="true" t="shared" si="0" ref="C31:H31">+C30+C21</f>
        <v>803.935</v>
      </c>
      <c r="D31" s="217">
        <f t="shared" si="0"/>
        <v>1918.7008800000003</v>
      </c>
      <c r="E31" s="217">
        <f t="shared" si="0"/>
        <v>2098.5069434875004</v>
      </c>
      <c r="F31" s="217">
        <f t="shared" si="0"/>
        <v>348.8201147828216</v>
      </c>
      <c r="G31" s="217">
        <f t="shared" si="0"/>
        <v>366.59711275000006</v>
      </c>
      <c r="H31" s="217">
        <f t="shared" si="0"/>
        <v>386.11978348749994</v>
      </c>
      <c r="J31" s="209"/>
    </row>
    <row r="32" spans="1:10" ht="12.75">
      <c r="A32" s="225">
        <v>7</v>
      </c>
      <c r="B32" s="250" t="s">
        <v>1694</v>
      </c>
      <c r="C32" s="394">
        <f aca="true" t="shared" si="1" ref="C32:H32">+C31/C20</f>
        <v>3.435619658119658</v>
      </c>
      <c r="D32" s="394">
        <f t="shared" si="1"/>
        <v>8.345806350587212</v>
      </c>
      <c r="E32" s="394">
        <f t="shared" si="1"/>
        <v>9.127911889897783</v>
      </c>
      <c r="F32" s="394" t="e">
        <f t="shared" si="1"/>
        <v>#DIV/0!</v>
      </c>
      <c r="G32" s="394" t="e">
        <f t="shared" si="1"/>
        <v>#DIV/0!</v>
      </c>
      <c r="H32" s="394" t="e">
        <f t="shared" si="1"/>
        <v>#DIV/0!</v>
      </c>
      <c r="J32" s="209"/>
    </row>
    <row r="33" ht="12.75">
      <c r="B33" s="248"/>
    </row>
    <row r="34" ht="12.75">
      <c r="B34" s="90" t="s">
        <v>1695</v>
      </c>
    </row>
    <row r="35" spans="2:5" ht="33" customHeight="1">
      <c r="B35" s="1131" t="s">
        <v>1696</v>
      </c>
      <c r="C35" s="1131"/>
      <c r="D35" s="1131"/>
      <c r="E35" s="1131"/>
    </row>
    <row r="36" ht="12.75">
      <c r="A36" s="90" t="s">
        <v>1371</v>
      </c>
    </row>
    <row r="37" ht="12.75">
      <c r="A37" s="90" t="s">
        <v>1697</v>
      </c>
    </row>
    <row r="39" spans="1:5" ht="12.75" customHeight="1">
      <c r="A39" s="1132"/>
      <c r="B39" s="1132"/>
      <c r="C39" s="1132"/>
      <c r="D39" s="1132"/>
      <c r="E39" s="1132"/>
    </row>
    <row r="40" spans="1:5" ht="40.5" customHeight="1">
      <c r="A40" s="1132"/>
      <c r="B40" s="1132"/>
      <c r="C40" s="1132"/>
      <c r="D40" s="1132"/>
      <c r="E40" s="1132"/>
    </row>
  </sheetData>
  <sheetProtection/>
  <mergeCells count="2">
    <mergeCell ref="B35:E35"/>
    <mergeCell ref="A39:E40"/>
  </mergeCells>
  <printOptions/>
  <pageMargins left="0.98" right="0.5511811023622047" top="0.984251968503937" bottom="0.984251968503937" header="0.5118110236220472" footer="0.5118110236220472"/>
  <pageSetup horizontalDpi="600" verticalDpi="600" orientation="portrait" scale="90" r:id="rId1"/>
</worksheet>
</file>

<file path=xl/worksheets/sheet40.xml><?xml version="1.0" encoding="utf-8"?>
<worksheet xmlns="http://schemas.openxmlformats.org/spreadsheetml/2006/main" xmlns:r="http://schemas.openxmlformats.org/officeDocument/2006/relationships">
  <dimension ref="A2:O93"/>
  <sheetViews>
    <sheetView view="pageBreakPreview" zoomScaleSheetLayoutView="100" zoomScalePageLayoutView="0" workbookViewId="0" topLeftCell="A22">
      <selection activeCell="A3" sqref="A3:J89"/>
    </sheetView>
  </sheetViews>
  <sheetFormatPr defaultColWidth="9.33203125" defaultRowHeight="12.75"/>
  <cols>
    <col min="1" max="2" width="9.33203125" style="90" customWidth="1"/>
    <col min="3" max="3" width="42.5" style="90" customWidth="1"/>
    <col min="4" max="4" width="0" style="90" hidden="1" customWidth="1"/>
    <col min="5" max="5" width="9.5" style="90" hidden="1" customWidth="1"/>
    <col min="6" max="6" width="17.66015625" style="90" customWidth="1"/>
    <col min="7" max="7" width="12.5" style="90" hidden="1" customWidth="1"/>
    <col min="8" max="8" width="16.16015625" style="90" customWidth="1"/>
    <col min="9" max="9" width="16.5" style="90" customWidth="1"/>
    <col min="10" max="16384" width="9.33203125" style="90" customWidth="1"/>
  </cols>
  <sheetData>
    <row r="2" spans="3:6" ht="18">
      <c r="C2" s="376"/>
      <c r="D2" s="281"/>
      <c r="E2" s="281"/>
      <c r="F2" s="377"/>
    </row>
    <row r="4" spans="2:9" ht="12.75">
      <c r="B4" s="369"/>
      <c r="H4" s="198" t="s">
        <v>1601</v>
      </c>
      <c r="I4" s="198"/>
    </row>
    <row r="8" spans="3:6" ht="12.75">
      <c r="C8" s="90" t="s">
        <v>1405</v>
      </c>
      <c r="F8" s="198" t="s">
        <v>1404</v>
      </c>
    </row>
    <row r="9" spans="3:6" ht="12.75">
      <c r="C9" s="90" t="s">
        <v>1576</v>
      </c>
      <c r="F9" s="198" t="s">
        <v>1402</v>
      </c>
    </row>
    <row r="12" ht="12.75">
      <c r="C12" s="90" t="s">
        <v>1602</v>
      </c>
    </row>
    <row r="15" spans="3:9" ht="18.75" customHeight="1">
      <c r="C15" s="231" t="s">
        <v>1355</v>
      </c>
      <c r="D15" s="378"/>
      <c r="E15" s="379"/>
      <c r="F15" s="380" t="s">
        <v>1463</v>
      </c>
      <c r="G15" s="1366" t="s">
        <v>1603</v>
      </c>
      <c r="H15" s="1367"/>
      <c r="I15" s="231" t="s">
        <v>1543</v>
      </c>
    </row>
    <row r="16" spans="3:9" ht="12.75">
      <c r="C16" s="225"/>
      <c r="D16" s="225"/>
      <c r="E16" s="225"/>
      <c r="F16" s="381" t="s">
        <v>1358</v>
      </c>
      <c r="G16" s="213" t="s">
        <v>1364</v>
      </c>
      <c r="H16" s="382" t="s">
        <v>1357</v>
      </c>
      <c r="I16" s="382" t="s">
        <v>1356</v>
      </c>
    </row>
    <row r="17" spans="3:9" ht="12.75">
      <c r="C17" s="225"/>
      <c r="D17" s="225" t="s">
        <v>1461</v>
      </c>
      <c r="E17" s="225" t="s">
        <v>1461</v>
      </c>
      <c r="F17" s="383"/>
      <c r="G17" s="225" t="s">
        <v>1604</v>
      </c>
      <c r="I17" s="384" t="s">
        <v>1605</v>
      </c>
    </row>
    <row r="18" spans="3:9" ht="12.75">
      <c r="C18" s="225"/>
      <c r="D18" s="225">
        <v>2</v>
      </c>
      <c r="E18" s="225">
        <v>3</v>
      </c>
      <c r="F18" s="383"/>
      <c r="G18" s="225">
        <v>5</v>
      </c>
      <c r="I18" s="383"/>
    </row>
    <row r="19" spans="3:9" ht="12.75">
      <c r="C19" s="225"/>
      <c r="D19" s="225"/>
      <c r="E19" s="225"/>
      <c r="F19" s="383"/>
      <c r="G19" s="225"/>
      <c r="I19" s="383"/>
    </row>
    <row r="20" spans="2:9" ht="12.75">
      <c r="B20" s="90" t="s">
        <v>1606</v>
      </c>
      <c r="C20" s="250" t="s">
        <v>1607</v>
      </c>
      <c r="D20" s="225"/>
      <c r="E20" s="225"/>
      <c r="F20" s="383"/>
      <c r="G20" s="225"/>
      <c r="I20" s="383"/>
    </row>
    <row r="21" spans="2:10" ht="12.75">
      <c r="B21" s="90">
        <v>1</v>
      </c>
      <c r="C21" s="250" t="s">
        <v>1608</v>
      </c>
      <c r="D21" s="225"/>
      <c r="E21" s="225"/>
      <c r="F21" s="383">
        <v>10244642.47</v>
      </c>
      <c r="G21" s="225"/>
      <c r="I21" s="383"/>
      <c r="J21" s="385"/>
    </row>
    <row r="22" spans="2:15" ht="12.75">
      <c r="B22" s="90">
        <v>2</v>
      </c>
      <c r="C22" s="250" t="s">
        <v>1609</v>
      </c>
      <c r="D22" s="225"/>
      <c r="E22" s="225"/>
      <c r="F22" s="383">
        <v>11893543.53</v>
      </c>
      <c r="G22" s="225"/>
      <c r="I22" s="225"/>
      <c r="J22" s="386"/>
      <c r="K22" s="90">
        <v>3.2</v>
      </c>
      <c r="L22" s="90">
        <v>3.52</v>
      </c>
      <c r="M22" s="90">
        <v>115</v>
      </c>
      <c r="N22" s="90">
        <v>-4</v>
      </c>
      <c r="O22" s="90">
        <v>7</v>
      </c>
    </row>
    <row r="23" spans="2:9" ht="12.75">
      <c r="B23" s="90">
        <v>3</v>
      </c>
      <c r="C23" s="250" t="s">
        <v>1610</v>
      </c>
      <c r="D23" s="225"/>
      <c r="E23" s="225"/>
      <c r="F23" s="383">
        <v>10068956</v>
      </c>
      <c r="G23" s="225"/>
      <c r="I23" s="225"/>
    </row>
    <row r="24" spans="2:9" ht="12.75">
      <c r="B24" s="90">
        <v>4</v>
      </c>
      <c r="C24" s="250" t="s">
        <v>1611</v>
      </c>
      <c r="D24" s="225"/>
      <c r="E24" s="225"/>
      <c r="F24" s="383">
        <v>4450965</v>
      </c>
      <c r="G24" s="225"/>
      <c r="I24" s="225"/>
    </row>
    <row r="25" spans="2:9" ht="12.75">
      <c r="B25" s="90">
        <v>5</v>
      </c>
      <c r="C25" s="250" t="s">
        <v>1612</v>
      </c>
      <c r="D25" s="225"/>
      <c r="E25" s="225"/>
      <c r="F25" s="383"/>
      <c r="G25" s="225"/>
      <c r="I25" s="225"/>
    </row>
    <row r="26" spans="3:9" ht="12.75">
      <c r="C26" s="250" t="s">
        <v>1613</v>
      </c>
      <c r="D26" s="225"/>
      <c r="E26" s="225"/>
      <c r="F26" s="383">
        <v>563496</v>
      </c>
      <c r="G26" s="225"/>
      <c r="I26" s="225"/>
    </row>
    <row r="27" spans="3:9" ht="12.75">
      <c r="C27" s="250" t="s">
        <v>1614</v>
      </c>
      <c r="D27" s="225"/>
      <c r="E27" s="225"/>
      <c r="F27" s="383">
        <v>3485281</v>
      </c>
      <c r="G27" s="225"/>
      <c r="I27" s="225"/>
    </row>
    <row r="28" spans="3:9" ht="12.75">
      <c r="C28" s="250" t="s">
        <v>1615</v>
      </c>
      <c r="D28" s="225"/>
      <c r="E28" s="225"/>
      <c r="F28" s="383">
        <v>954641</v>
      </c>
      <c r="G28" s="225"/>
      <c r="I28" s="225"/>
    </row>
    <row r="29" spans="3:9" ht="12.75">
      <c r="C29" s="250" t="s">
        <v>1616</v>
      </c>
      <c r="D29" s="225"/>
      <c r="E29" s="225"/>
      <c r="F29" s="383">
        <v>310796</v>
      </c>
      <c r="G29" s="225"/>
      <c r="I29" s="225"/>
    </row>
    <row r="30" spans="3:9" ht="12.75">
      <c r="C30" s="250" t="s">
        <v>1617</v>
      </c>
      <c r="D30" s="225"/>
      <c r="E30" s="225"/>
      <c r="F30" s="383">
        <v>943782</v>
      </c>
      <c r="G30" s="225"/>
      <c r="I30" s="225"/>
    </row>
    <row r="31" spans="3:9" ht="12.75">
      <c r="C31" s="250" t="s">
        <v>1618</v>
      </c>
      <c r="D31" s="225"/>
      <c r="E31" s="225"/>
      <c r="F31" s="383"/>
      <c r="G31" s="225"/>
      <c r="I31" s="225"/>
    </row>
    <row r="32" spans="3:9" ht="12.75">
      <c r="C32" s="250" t="s">
        <v>1619</v>
      </c>
      <c r="D32" s="225"/>
      <c r="E32" s="225"/>
      <c r="F32" s="383">
        <v>11980527</v>
      </c>
      <c r="G32" s="225"/>
      <c r="I32" s="225"/>
    </row>
    <row r="33" spans="3:9" ht="12.75">
      <c r="C33" s="250" t="s">
        <v>1620</v>
      </c>
      <c r="D33" s="225"/>
      <c r="E33" s="225"/>
      <c r="F33" s="383">
        <v>18238523</v>
      </c>
      <c r="G33" s="225"/>
      <c r="I33" s="225"/>
    </row>
    <row r="34" spans="2:9" ht="12.75">
      <c r="B34" s="90">
        <v>6</v>
      </c>
      <c r="C34" s="250" t="s">
        <v>1621</v>
      </c>
      <c r="D34" s="225"/>
      <c r="E34" s="225"/>
      <c r="F34" s="383"/>
      <c r="G34" s="225"/>
      <c r="I34" s="225"/>
    </row>
    <row r="35" spans="3:9" ht="12.75">
      <c r="C35" s="250" t="s">
        <v>1622</v>
      </c>
      <c r="D35" s="225"/>
      <c r="E35" s="225"/>
      <c r="F35" s="383">
        <v>110674598</v>
      </c>
      <c r="G35" s="225"/>
      <c r="I35" s="225"/>
    </row>
    <row r="36" spans="3:9" ht="12.75">
      <c r="C36" s="250" t="s">
        <v>1623</v>
      </c>
      <c r="D36" s="225"/>
      <c r="E36" s="225"/>
      <c r="F36" s="383"/>
      <c r="G36" s="225"/>
      <c r="I36" s="225"/>
    </row>
    <row r="37" spans="3:9" ht="12.75">
      <c r="C37" s="250" t="s">
        <v>1624</v>
      </c>
      <c r="D37" s="225"/>
      <c r="E37" s="225"/>
      <c r="F37" s="383"/>
      <c r="G37" s="225"/>
      <c r="I37" s="225"/>
    </row>
    <row r="38" spans="3:9" ht="12.75">
      <c r="C38" s="250" t="s">
        <v>1625</v>
      </c>
      <c r="D38" s="225"/>
      <c r="E38" s="225"/>
      <c r="F38" s="383"/>
      <c r="G38" s="225"/>
      <c r="I38" s="225"/>
    </row>
    <row r="39" spans="3:9" ht="12.75">
      <c r="C39" s="250" t="s">
        <v>1626</v>
      </c>
      <c r="D39" s="225"/>
      <c r="E39" s="225"/>
      <c r="F39" s="383"/>
      <c r="G39" s="225"/>
      <c r="I39" s="225"/>
    </row>
    <row r="40" spans="3:9" ht="12.75">
      <c r="C40" s="250" t="s">
        <v>1627</v>
      </c>
      <c r="D40" s="225"/>
      <c r="E40" s="225"/>
      <c r="F40" s="383"/>
      <c r="G40" s="225"/>
      <c r="I40" s="225"/>
    </row>
    <row r="41" spans="3:9" ht="12.75">
      <c r="C41" s="250" t="s">
        <v>1628</v>
      </c>
      <c r="D41" s="225"/>
      <c r="E41" s="225"/>
      <c r="F41" s="383"/>
      <c r="G41" s="225"/>
      <c r="I41" s="225"/>
    </row>
    <row r="42" spans="3:9" ht="12.75">
      <c r="C42" s="250" t="s">
        <v>1629</v>
      </c>
      <c r="D42" s="225"/>
      <c r="E42" s="225"/>
      <c r="F42" s="383"/>
      <c r="G42" s="225"/>
      <c r="I42" s="225"/>
    </row>
    <row r="43" spans="3:9" ht="25.5">
      <c r="C43" s="250" t="s">
        <v>1630</v>
      </c>
      <c r="D43" s="225"/>
      <c r="E43" s="225"/>
      <c r="F43" s="383"/>
      <c r="G43" s="225"/>
      <c r="I43" s="225"/>
    </row>
    <row r="44" spans="3:9" ht="12.75">
      <c r="C44" s="250" t="s">
        <v>1631</v>
      </c>
      <c r="D44" s="225"/>
      <c r="E44" s="225"/>
      <c r="F44" s="383">
        <v>5058867</v>
      </c>
      <c r="G44" s="225"/>
      <c r="I44" s="225"/>
    </row>
    <row r="45" spans="3:9" ht="12.75">
      <c r="C45" s="250" t="s">
        <v>1632</v>
      </c>
      <c r="D45" s="225"/>
      <c r="E45" s="225"/>
      <c r="F45" s="383"/>
      <c r="G45" s="225"/>
      <c r="I45" s="225"/>
    </row>
    <row r="46" spans="3:9" ht="12.75">
      <c r="C46" s="250" t="s">
        <v>1382</v>
      </c>
      <c r="D46" s="225"/>
      <c r="E46" s="225"/>
      <c r="F46" s="383"/>
      <c r="G46" s="225"/>
      <c r="I46" s="225"/>
    </row>
    <row r="47" spans="3:9" ht="25.5">
      <c r="C47" s="250" t="s">
        <v>1633</v>
      </c>
      <c r="D47" s="225"/>
      <c r="E47" s="225"/>
      <c r="F47" s="383">
        <v>1406787</v>
      </c>
      <c r="G47" s="225"/>
      <c r="I47" s="225"/>
    </row>
    <row r="48" spans="3:9" ht="12.75">
      <c r="C48" s="250" t="s">
        <v>1634</v>
      </c>
      <c r="D48" s="225"/>
      <c r="E48" s="225"/>
      <c r="F48" s="383"/>
      <c r="G48" s="225"/>
      <c r="I48" s="225"/>
    </row>
    <row r="49" spans="3:9" ht="12.75">
      <c r="C49" s="250" t="s">
        <v>1635</v>
      </c>
      <c r="D49" s="225"/>
      <c r="E49" s="225"/>
      <c r="F49" s="383">
        <v>9462177</v>
      </c>
      <c r="G49" s="225"/>
      <c r="I49" s="225"/>
    </row>
    <row r="50" spans="3:9" ht="12.75">
      <c r="C50" s="250" t="s">
        <v>1636</v>
      </c>
      <c r="D50" s="225"/>
      <c r="E50" s="225"/>
      <c r="F50" s="383"/>
      <c r="G50" s="225"/>
      <c r="I50" s="225"/>
    </row>
    <row r="51" spans="3:9" ht="12.75">
      <c r="C51" s="250" t="s">
        <v>1637</v>
      </c>
      <c r="D51" s="225"/>
      <c r="E51" s="225"/>
      <c r="F51" s="383"/>
      <c r="G51" s="225"/>
      <c r="I51" s="225"/>
    </row>
    <row r="52" spans="3:9" ht="12.75">
      <c r="C52" s="250" t="s">
        <v>1638</v>
      </c>
      <c r="D52" s="225"/>
      <c r="E52" s="225"/>
      <c r="F52" s="383">
        <v>1425841</v>
      </c>
      <c r="G52" s="225"/>
      <c r="I52" s="225"/>
    </row>
    <row r="53" spans="3:9" ht="12.75">
      <c r="C53" s="250" t="s">
        <v>1382</v>
      </c>
      <c r="D53" s="225"/>
      <c r="E53" s="225"/>
      <c r="F53" s="383"/>
      <c r="G53" s="225"/>
      <c r="I53" s="225"/>
    </row>
    <row r="54" spans="3:9" ht="12.75">
      <c r="C54" s="250" t="s">
        <v>1639</v>
      </c>
      <c r="D54" s="225"/>
      <c r="E54" s="225"/>
      <c r="F54" s="383"/>
      <c r="G54" s="225"/>
      <c r="I54" s="225"/>
    </row>
    <row r="55" spans="3:9" ht="12.75">
      <c r="C55" s="250" t="s">
        <v>1640</v>
      </c>
      <c r="D55" s="225"/>
      <c r="E55" s="225"/>
      <c r="F55" s="383"/>
      <c r="G55" s="225"/>
      <c r="I55" s="225"/>
    </row>
    <row r="56" spans="3:9" ht="12.75">
      <c r="C56" s="250" t="s">
        <v>1641</v>
      </c>
      <c r="D56" s="225"/>
      <c r="E56" s="225"/>
      <c r="F56" s="383"/>
      <c r="G56" s="225"/>
      <c r="I56" s="225"/>
    </row>
    <row r="57" spans="3:9" ht="12.75">
      <c r="C57" s="250" t="s">
        <v>1642</v>
      </c>
      <c r="D57" s="225"/>
      <c r="E57" s="225"/>
      <c r="F57" s="383"/>
      <c r="G57" s="225"/>
      <c r="I57" s="225"/>
    </row>
    <row r="58" spans="3:9" ht="12.75">
      <c r="C58" s="250" t="s">
        <v>1643</v>
      </c>
      <c r="D58" s="225"/>
      <c r="E58" s="225"/>
      <c r="F58" s="383"/>
      <c r="G58" s="225"/>
      <c r="I58" s="225"/>
    </row>
    <row r="59" spans="3:9" ht="12.75">
      <c r="C59" s="250" t="s">
        <v>1644</v>
      </c>
      <c r="D59" s="225"/>
      <c r="E59" s="225"/>
      <c r="F59" s="383"/>
      <c r="G59" s="225"/>
      <c r="I59" s="225"/>
    </row>
    <row r="60" spans="3:9" ht="12.75">
      <c r="C60" s="250" t="s">
        <v>1382</v>
      </c>
      <c r="D60" s="225"/>
      <c r="E60" s="225"/>
      <c r="F60" s="383"/>
      <c r="G60" s="225"/>
      <c r="I60" s="225"/>
    </row>
    <row r="61" spans="3:9" ht="12.75">
      <c r="C61" s="250" t="s">
        <v>1645</v>
      </c>
      <c r="D61" s="225"/>
      <c r="E61" s="225"/>
      <c r="F61" s="383">
        <v>128028270</v>
      </c>
      <c r="G61" s="225"/>
      <c r="I61" s="225"/>
    </row>
    <row r="62" spans="2:9" ht="25.5">
      <c r="B62" s="90">
        <v>7</v>
      </c>
      <c r="C62" s="250" t="s">
        <v>1646</v>
      </c>
      <c r="D62" s="225"/>
      <c r="E62" s="225"/>
      <c r="F62" s="383"/>
      <c r="G62" s="225"/>
      <c r="I62" s="225"/>
    </row>
    <row r="63" spans="2:9" ht="12.75">
      <c r="B63" s="90">
        <v>8</v>
      </c>
      <c r="C63" s="250" t="s">
        <v>1647</v>
      </c>
      <c r="D63" s="225"/>
      <c r="E63" s="225"/>
      <c r="F63" s="383">
        <v>182924900</v>
      </c>
      <c r="G63" s="225"/>
      <c r="I63" s="225"/>
    </row>
    <row r="64" spans="3:9" ht="12.75">
      <c r="C64" s="250" t="s">
        <v>1648</v>
      </c>
      <c r="D64" s="225"/>
      <c r="E64" s="225"/>
      <c r="F64" s="383"/>
      <c r="G64" s="225"/>
      <c r="I64" s="225"/>
    </row>
    <row r="65" spans="3:9" ht="12.75">
      <c r="C65" s="330" t="s">
        <v>1649</v>
      </c>
      <c r="D65" s="225"/>
      <c r="E65" s="225"/>
      <c r="F65" s="383"/>
      <c r="G65" s="225"/>
      <c r="I65" s="225"/>
    </row>
    <row r="66" spans="8:9" ht="12.75">
      <c r="H66" s="387"/>
      <c r="I66" s="387"/>
    </row>
    <row r="67" spans="3:9" ht="12.75">
      <c r="C67" s="90" t="s">
        <v>1650</v>
      </c>
      <c r="H67" s="387"/>
      <c r="I67" s="387"/>
    </row>
    <row r="68" spans="3:9" ht="12.75">
      <c r="C68" s="90" t="s">
        <v>1651</v>
      </c>
      <c r="H68" s="387"/>
      <c r="I68" s="387"/>
    </row>
    <row r="69" spans="3:9" ht="12.75">
      <c r="C69" s="90" t="s">
        <v>1652</v>
      </c>
      <c r="H69" s="387"/>
      <c r="I69" s="387"/>
    </row>
    <row r="70" spans="3:9" ht="12.75">
      <c r="C70" s="90" t="s">
        <v>1653</v>
      </c>
      <c r="H70" s="387"/>
      <c r="I70" s="387"/>
    </row>
    <row r="71" spans="8:9" ht="12.75">
      <c r="H71" s="387"/>
      <c r="I71" s="387"/>
    </row>
    <row r="72" spans="2:9" ht="12.75">
      <c r="B72" s="90" t="s">
        <v>1457</v>
      </c>
      <c r="C72" s="250" t="s">
        <v>1654</v>
      </c>
      <c r="D72" s="225"/>
      <c r="E72" s="225"/>
      <c r="F72" s="225"/>
      <c r="G72" s="225"/>
      <c r="H72" s="383"/>
      <c r="I72" s="383"/>
    </row>
    <row r="73" spans="3:9" ht="12.75">
      <c r="C73" s="250" t="s">
        <v>1655</v>
      </c>
      <c r="D73" s="225"/>
      <c r="E73" s="225"/>
      <c r="F73" s="225"/>
      <c r="G73" s="225"/>
      <c r="H73" s="383"/>
      <c r="I73" s="383"/>
    </row>
    <row r="74" spans="3:9" ht="12.75">
      <c r="C74" s="250" t="s">
        <v>1656</v>
      </c>
      <c r="D74" s="225"/>
      <c r="E74" s="225"/>
      <c r="F74" s="225"/>
      <c r="G74" s="225"/>
      <c r="H74" s="383"/>
      <c r="I74" s="383"/>
    </row>
    <row r="75" spans="3:9" ht="12.75">
      <c r="C75" s="250" t="s">
        <v>1657</v>
      </c>
      <c r="D75" s="225"/>
      <c r="E75" s="225"/>
      <c r="F75" s="225"/>
      <c r="G75" s="225"/>
      <c r="H75" s="383"/>
      <c r="I75" s="383"/>
    </row>
    <row r="76" spans="3:9" ht="12.75">
      <c r="C76" s="250" t="s">
        <v>1658</v>
      </c>
      <c r="D76" s="225"/>
      <c r="E76" s="225"/>
      <c r="F76" s="225"/>
      <c r="G76" s="225"/>
      <c r="H76" s="383"/>
      <c r="I76" s="383"/>
    </row>
    <row r="77" spans="3:9" ht="12.75">
      <c r="C77" s="250" t="s">
        <v>1659</v>
      </c>
      <c r="D77" s="225"/>
      <c r="E77" s="225"/>
      <c r="F77" s="225"/>
      <c r="G77" s="225"/>
      <c r="H77" s="383"/>
      <c r="I77" s="383"/>
    </row>
    <row r="78" spans="3:9" ht="12.75">
      <c r="C78" s="250" t="s">
        <v>1660</v>
      </c>
      <c r="D78" s="225"/>
      <c r="E78" s="225"/>
      <c r="F78" s="225" t="s">
        <v>1510</v>
      </c>
      <c r="G78" s="225"/>
      <c r="H78" s="383"/>
      <c r="I78" s="383"/>
    </row>
    <row r="79" spans="3:9" ht="12.75">
      <c r="C79" s="250" t="s">
        <v>1661</v>
      </c>
      <c r="D79" s="225"/>
      <c r="E79" s="225"/>
      <c r="F79" s="225"/>
      <c r="G79" s="225"/>
      <c r="H79" s="383"/>
      <c r="I79" s="383"/>
    </row>
    <row r="80" spans="3:9" ht="12.75">
      <c r="C80" s="250" t="s">
        <v>1613</v>
      </c>
      <c r="D80" s="225"/>
      <c r="E80" s="225"/>
      <c r="F80" s="225"/>
      <c r="G80" s="225"/>
      <c r="H80" s="383"/>
      <c r="I80" s="383"/>
    </row>
    <row r="81" spans="3:9" ht="12.75">
      <c r="C81" s="250" t="s">
        <v>1662</v>
      </c>
      <c r="D81" s="225"/>
      <c r="E81" s="225"/>
      <c r="F81" s="225"/>
      <c r="G81" s="225"/>
      <c r="H81" s="383"/>
      <c r="I81" s="383"/>
    </row>
    <row r="82" spans="3:9" ht="12.75">
      <c r="C82" s="250" t="s">
        <v>1382</v>
      </c>
      <c r="D82" s="225"/>
      <c r="E82" s="225"/>
      <c r="F82" s="225"/>
      <c r="G82" s="225"/>
      <c r="H82" s="383"/>
      <c r="I82" s="383"/>
    </row>
    <row r="83" spans="3:9" ht="12.75">
      <c r="C83" s="250"/>
      <c r="D83" s="225"/>
      <c r="E83" s="225"/>
      <c r="F83" s="225"/>
      <c r="G83" s="225"/>
      <c r="H83" s="383"/>
      <c r="I83" s="383"/>
    </row>
    <row r="84" spans="2:9" ht="12.75">
      <c r="B84" s="90" t="s">
        <v>1453</v>
      </c>
      <c r="C84" s="250" t="s">
        <v>1663</v>
      </c>
      <c r="D84" s="225"/>
      <c r="E84" s="225"/>
      <c r="F84" s="225"/>
      <c r="G84" s="225"/>
      <c r="H84" s="383"/>
      <c r="I84" s="383"/>
    </row>
    <row r="85" spans="3:9" ht="12.75">
      <c r="C85" s="250" t="s">
        <v>1664</v>
      </c>
      <c r="D85" s="225"/>
      <c r="E85" s="225"/>
      <c r="F85" s="225">
        <v>13</v>
      </c>
      <c r="G85" s="225">
        <v>13</v>
      </c>
      <c r="H85" s="383">
        <v>13</v>
      </c>
      <c r="I85" s="383">
        <v>13</v>
      </c>
    </row>
    <row r="86" spans="3:9" ht="12.75">
      <c r="C86" s="250" t="s">
        <v>1665</v>
      </c>
      <c r="D86" s="225"/>
      <c r="E86" s="225"/>
      <c r="F86" s="225">
        <v>32</v>
      </c>
      <c r="G86" s="225">
        <v>32</v>
      </c>
      <c r="H86" s="383">
        <v>32</v>
      </c>
      <c r="I86" s="383">
        <v>32</v>
      </c>
    </row>
    <row r="87" spans="3:9" ht="12.75">
      <c r="C87" s="250" t="s">
        <v>1666</v>
      </c>
      <c r="D87" s="225"/>
      <c r="E87" s="225"/>
      <c r="F87" s="225">
        <v>66</v>
      </c>
      <c r="G87" s="225">
        <v>66</v>
      </c>
      <c r="H87" s="383">
        <v>66</v>
      </c>
      <c r="I87" s="383">
        <v>66</v>
      </c>
    </row>
    <row r="88" spans="3:9" ht="12.75">
      <c r="C88" s="250" t="s">
        <v>1667</v>
      </c>
      <c r="D88" s="225"/>
      <c r="E88" s="225"/>
      <c r="F88" s="225">
        <v>18</v>
      </c>
      <c r="G88" s="225">
        <v>18</v>
      </c>
      <c r="H88" s="383">
        <v>18</v>
      </c>
      <c r="I88" s="383">
        <v>18</v>
      </c>
    </row>
    <row r="89" spans="3:9" ht="12.75">
      <c r="C89" s="250" t="s">
        <v>1382</v>
      </c>
      <c r="D89" s="225"/>
      <c r="E89" s="225"/>
      <c r="F89" s="225">
        <f>SUM(F85:F88)</f>
        <v>129</v>
      </c>
      <c r="G89" s="225">
        <f>SUM(G85:G88)</f>
        <v>129</v>
      </c>
      <c r="H89" s="383">
        <f>SUM(H85:H88)</f>
        <v>129</v>
      </c>
      <c r="I89" s="383">
        <f>SUM(I85:I88)</f>
        <v>129</v>
      </c>
    </row>
    <row r="90" spans="1:9" ht="12.75">
      <c r="A90" s="201" t="s">
        <v>1668</v>
      </c>
      <c r="B90" s="201"/>
      <c r="C90" s="388"/>
      <c r="D90" s="389"/>
      <c r="E90" s="389"/>
      <c r="F90" s="389"/>
      <c r="G90" s="389"/>
      <c r="H90" s="389"/>
      <c r="I90" s="389"/>
    </row>
    <row r="91" spans="1:9" ht="24.75" customHeight="1">
      <c r="A91" s="390"/>
      <c r="B91" s="1134"/>
      <c r="C91" s="1134"/>
      <c r="D91" s="1134"/>
      <c r="E91" s="1134"/>
      <c r="F91" s="1134"/>
      <c r="G91" s="1134"/>
      <c r="H91" s="1134"/>
      <c r="I91" s="1134"/>
    </row>
    <row r="92" spans="1:9" ht="24.75" customHeight="1">
      <c r="A92" s="390"/>
      <c r="B92" s="1134"/>
      <c r="C92" s="1134"/>
      <c r="D92" s="1134"/>
      <c r="E92" s="1134"/>
      <c r="F92" s="1134"/>
      <c r="G92" s="1134"/>
      <c r="H92" s="1134"/>
      <c r="I92" s="1134"/>
    </row>
    <row r="93" spans="1:9" ht="12.75" customHeight="1">
      <c r="A93" s="390"/>
      <c r="B93" s="1134"/>
      <c r="C93" s="1134"/>
      <c r="D93" s="1134"/>
      <c r="E93" s="1134"/>
      <c r="F93" s="1134"/>
      <c r="G93" s="1134"/>
      <c r="H93" s="1134"/>
      <c r="I93" s="1134"/>
    </row>
  </sheetData>
  <sheetProtection/>
  <mergeCells count="4">
    <mergeCell ref="G15:H15"/>
    <mergeCell ref="B91:I91"/>
    <mergeCell ref="B92:I92"/>
    <mergeCell ref="B93:I93"/>
  </mergeCells>
  <printOptions/>
  <pageMargins left="0.75" right="0.75" top="1" bottom="1" header="0.5" footer="0.5"/>
  <pageSetup horizontalDpi="600" verticalDpi="600" orientation="portrait" scale="76" r:id="rId1"/>
</worksheet>
</file>

<file path=xl/worksheets/sheet41.xml><?xml version="1.0" encoding="utf-8"?>
<worksheet xmlns="http://schemas.openxmlformats.org/spreadsheetml/2006/main" xmlns:r="http://schemas.openxmlformats.org/officeDocument/2006/relationships">
  <dimension ref="B3:K44"/>
  <sheetViews>
    <sheetView view="pageBreakPreview" zoomScaleSheetLayoutView="100" zoomScalePageLayoutView="0" workbookViewId="0" topLeftCell="A9">
      <selection activeCell="A2" sqref="A2:K41"/>
    </sheetView>
  </sheetViews>
  <sheetFormatPr defaultColWidth="9.33203125" defaultRowHeight="12.75"/>
  <cols>
    <col min="1" max="2" width="9.33203125" style="90" customWidth="1"/>
    <col min="3" max="3" width="37.66015625" style="90" customWidth="1"/>
    <col min="4" max="5" width="0" style="90" hidden="1" customWidth="1"/>
    <col min="6" max="6" width="7.66015625" style="90" hidden="1" customWidth="1"/>
    <col min="7" max="7" width="17.16015625" style="90" customWidth="1"/>
    <col min="8" max="8" width="22.66015625" style="90" customWidth="1"/>
    <col min="9" max="9" width="17.83203125" style="90" customWidth="1"/>
    <col min="10" max="16384" width="9.33203125" style="90" customWidth="1"/>
  </cols>
  <sheetData>
    <row r="3" spans="2:9" ht="12.75">
      <c r="B3" s="369"/>
      <c r="I3" s="198" t="s">
        <v>1575</v>
      </c>
    </row>
    <row r="5" spans="4:5" ht="12.75">
      <c r="D5" s="198"/>
      <c r="E5" s="198"/>
    </row>
    <row r="7" spans="3:7" ht="12.75">
      <c r="C7" s="90" t="s">
        <v>1493</v>
      </c>
      <c r="G7" s="198" t="s">
        <v>1404</v>
      </c>
    </row>
    <row r="8" spans="3:7" ht="12.75">
      <c r="C8" s="90" t="s">
        <v>1576</v>
      </c>
      <c r="G8" s="90" t="s">
        <v>1577</v>
      </c>
    </row>
    <row r="11" ht="12.75">
      <c r="C11" s="198" t="s">
        <v>1578</v>
      </c>
    </row>
    <row r="13" ht="12.75">
      <c r="I13" s="90" t="s">
        <v>1579</v>
      </c>
    </row>
    <row r="14" spans="2:9" ht="12.75">
      <c r="B14" s="90" t="s">
        <v>1400</v>
      </c>
      <c r="C14" s="225" t="s">
        <v>1355</v>
      </c>
      <c r="E14" s="370"/>
      <c r="F14" s="370"/>
      <c r="G14" s="371" t="s">
        <v>1463</v>
      </c>
      <c r="H14" s="371" t="s">
        <v>1462</v>
      </c>
      <c r="I14" s="371" t="s">
        <v>1543</v>
      </c>
    </row>
    <row r="15" spans="3:9" ht="12.75">
      <c r="C15" s="225"/>
      <c r="D15" s="225"/>
      <c r="E15" s="225"/>
      <c r="F15" s="225"/>
      <c r="G15" s="372" t="s">
        <v>1358</v>
      </c>
      <c r="H15" s="373" t="s">
        <v>1357</v>
      </c>
      <c r="I15" s="372" t="s">
        <v>1356</v>
      </c>
    </row>
    <row r="16" spans="2:9" ht="12.75">
      <c r="B16" s="90">
        <v>1</v>
      </c>
      <c r="C16" s="225" t="s">
        <v>1313</v>
      </c>
      <c r="D16" s="225"/>
      <c r="E16" s="225"/>
      <c r="F16" s="225"/>
      <c r="G16" s="217">
        <f>'Tariff calc 24-25'!M45</f>
        <v>4.56</v>
      </c>
      <c r="H16" s="217">
        <f>'Tariff calc 24-25'!N45</f>
        <v>5.079335505974667</v>
      </c>
      <c r="I16" s="217">
        <f>'Tariff calc 24-25'!O45</f>
        <v>6.005365754761671</v>
      </c>
    </row>
    <row r="17" spans="2:9" ht="12.75">
      <c r="B17" s="90">
        <v>2</v>
      </c>
      <c r="C17" s="225" t="s">
        <v>1580</v>
      </c>
      <c r="D17" s="225"/>
      <c r="E17" s="225"/>
      <c r="F17" s="225"/>
      <c r="G17" s="214"/>
      <c r="H17" s="214"/>
      <c r="I17" s="214"/>
    </row>
    <row r="18" spans="2:9" ht="12.75">
      <c r="B18" s="90">
        <v>3</v>
      </c>
      <c r="C18" s="225" t="s">
        <v>1581</v>
      </c>
      <c r="D18" s="225"/>
      <c r="E18" s="225"/>
      <c r="F18" s="225"/>
      <c r="G18" s="214"/>
      <c r="H18" s="214"/>
      <c r="I18" s="214"/>
    </row>
    <row r="19" spans="2:9" ht="12.75">
      <c r="B19" s="90">
        <v>4</v>
      </c>
      <c r="C19" s="225" t="s">
        <v>1582</v>
      </c>
      <c r="D19" s="225"/>
      <c r="E19" s="225"/>
      <c r="F19" s="225"/>
      <c r="G19" s="214"/>
      <c r="H19" s="214"/>
      <c r="I19" s="214"/>
    </row>
    <row r="20" spans="2:9" ht="12.75">
      <c r="B20" s="90">
        <v>5</v>
      </c>
      <c r="C20" s="225" t="s">
        <v>1583</v>
      </c>
      <c r="D20" s="225"/>
      <c r="E20" s="225"/>
      <c r="F20" s="225"/>
      <c r="G20" s="217">
        <f>'Tariff calc 24-25'!M46</f>
        <v>1.18</v>
      </c>
      <c r="H20" s="374">
        <f>'Tariff calc 24-25'!N46</f>
        <v>1.2582916666666668</v>
      </c>
      <c r="I20" s="217">
        <f>'Tariff calc 24-25'!O46</f>
        <v>1.343875</v>
      </c>
    </row>
    <row r="21" spans="2:9" ht="12.75">
      <c r="B21" s="90">
        <v>6</v>
      </c>
      <c r="C21" s="225" t="s">
        <v>1584</v>
      </c>
      <c r="D21" s="225"/>
      <c r="E21" s="225"/>
      <c r="F21" s="225"/>
      <c r="G21" s="217">
        <f>'Tariff calc 24-25'!M47</f>
        <v>4.24</v>
      </c>
      <c r="H21" s="217">
        <f>'Tariff calc 24-25'!N47</f>
        <v>4.529850000000001</v>
      </c>
      <c r="I21" s="217">
        <f>'Tariff calc 24-25'!O47</f>
        <v>4.837949999999999</v>
      </c>
    </row>
    <row r="22" spans="2:9" ht="12.75">
      <c r="B22" s="90">
        <v>7</v>
      </c>
      <c r="C22" s="225" t="s">
        <v>1310</v>
      </c>
      <c r="D22" s="225"/>
      <c r="E22" s="225"/>
      <c r="F22" s="225"/>
      <c r="G22" s="217">
        <f>'Tariff calc 24-25'!M48</f>
        <v>14.09</v>
      </c>
      <c r="H22" s="217">
        <f>'Tariff calc 24-25'!N48</f>
        <v>15.96</v>
      </c>
      <c r="I22" s="217">
        <f>'Tariff calc 24-25'!O48</f>
        <v>12.15</v>
      </c>
    </row>
    <row r="23" spans="2:9" ht="12.75">
      <c r="B23" s="90">
        <v>8</v>
      </c>
      <c r="C23" s="225" t="s">
        <v>1585</v>
      </c>
      <c r="D23" s="225"/>
      <c r="E23" s="225"/>
      <c r="F23" s="225"/>
      <c r="G23" s="217">
        <f>SUM(G16:G22)</f>
        <v>24.07</v>
      </c>
      <c r="H23" s="217">
        <f>SUM(H16:H22)</f>
        <v>26.827477172641334</v>
      </c>
      <c r="I23" s="217">
        <f>SUM(I16:I22)</f>
        <v>24.33719075476167</v>
      </c>
    </row>
    <row r="24" spans="2:9" ht="12.75">
      <c r="B24" s="90">
        <v>9</v>
      </c>
      <c r="C24" s="225" t="s">
        <v>1586</v>
      </c>
      <c r="D24" s="225"/>
      <c r="E24" s="225"/>
      <c r="F24" s="225"/>
      <c r="G24" s="217">
        <f>'Tariff calc 24-25'!M28</f>
        <v>12.15</v>
      </c>
      <c r="H24" s="217">
        <f>'Tariff calc 24-25'!N28</f>
        <v>12.55</v>
      </c>
      <c r="I24" s="217">
        <f>'[1]Tariff calc 18-19 '!M28</f>
        <v>12.75</v>
      </c>
    </row>
    <row r="25" spans="2:9" ht="12.75">
      <c r="B25" s="90">
        <v>10</v>
      </c>
      <c r="C25" s="225" t="s">
        <v>1587</v>
      </c>
      <c r="D25" s="225"/>
      <c r="E25" s="225"/>
      <c r="F25" s="225"/>
      <c r="G25" s="217">
        <f>'Tariff calc 24-25'!M38</f>
        <v>2.9245050000000004</v>
      </c>
      <c r="H25" s="217">
        <f>'Tariff calc 24-25'!N50</f>
        <v>3.3668483851664877</v>
      </c>
      <c r="I25" s="217">
        <f>'Tariff calc 24-25'!O50</f>
        <v>2.9326314859487814</v>
      </c>
    </row>
    <row r="28" ht="12.75">
      <c r="C28" s="375" t="s">
        <v>1588</v>
      </c>
    </row>
    <row r="29" spans="3:11" ht="51" customHeight="1">
      <c r="C29" s="1136" t="s">
        <v>1589</v>
      </c>
      <c r="D29" s="1136"/>
      <c r="E29" s="1136"/>
      <c r="F29" s="1136"/>
      <c r="G29" s="1136"/>
      <c r="H29" s="1136"/>
      <c r="I29" s="1136"/>
      <c r="J29" s="1136"/>
      <c r="K29" s="1136"/>
    </row>
    <row r="32" spans="3:10" ht="12.75">
      <c r="C32" s="369"/>
      <c r="J32" s="198" t="s">
        <v>1590</v>
      </c>
    </row>
    <row r="34" spans="4:7" ht="12.75">
      <c r="D34" s="90" t="s">
        <v>1497</v>
      </c>
      <c r="G34" s="198" t="s">
        <v>1404</v>
      </c>
    </row>
    <row r="35" ht="12.75">
      <c r="C35" s="201" t="s">
        <v>1591</v>
      </c>
    </row>
    <row r="36" ht="12.75">
      <c r="C36" s="198" t="s">
        <v>1592</v>
      </c>
    </row>
    <row r="37" spans="3:8" ht="12.75">
      <c r="C37" s="225" t="s">
        <v>1355</v>
      </c>
      <c r="G37" s="1135" t="s">
        <v>1593</v>
      </c>
      <c r="H37" s="1135"/>
    </row>
    <row r="38" spans="3:8" ht="12.75">
      <c r="C38" s="225"/>
      <c r="G38" s="1135"/>
      <c r="H38" s="1135"/>
    </row>
    <row r="39" spans="3:8" ht="12.75">
      <c r="C39" s="225" t="s">
        <v>1594</v>
      </c>
      <c r="G39" s="1137" t="s">
        <v>1595</v>
      </c>
      <c r="H39" s="1137"/>
    </row>
    <row r="40" spans="3:8" ht="12.75">
      <c r="C40" s="225" t="s">
        <v>1596</v>
      </c>
      <c r="D40" s="90" t="s">
        <v>1355</v>
      </c>
      <c r="G40" s="1135"/>
      <c r="H40" s="1135"/>
    </row>
    <row r="41" spans="3:8" ht="12.75">
      <c r="C41" s="225" t="s">
        <v>1597</v>
      </c>
      <c r="D41" s="90">
        <v>2</v>
      </c>
      <c r="G41" s="1135"/>
      <c r="H41" s="1135"/>
    </row>
    <row r="42" ht="12.75">
      <c r="D42" s="90" t="s">
        <v>1598</v>
      </c>
    </row>
    <row r="43" ht="12.75">
      <c r="D43" s="90" t="s">
        <v>1599</v>
      </c>
    </row>
    <row r="44" ht="12.75">
      <c r="D44" s="90" t="s">
        <v>1600</v>
      </c>
    </row>
  </sheetData>
  <sheetProtection/>
  <mergeCells count="6">
    <mergeCell ref="G41:H41"/>
    <mergeCell ref="C29:K29"/>
    <mergeCell ref="G37:H37"/>
    <mergeCell ref="G38:H38"/>
    <mergeCell ref="G39:H39"/>
    <mergeCell ref="G40:H40"/>
  </mergeCells>
  <printOptions/>
  <pageMargins left="0.75" right="0.75" top="1" bottom="1" header="0.5" footer="0.5"/>
  <pageSetup horizontalDpi="600" verticalDpi="600" orientation="portrait" scale="70" r:id="rId1"/>
</worksheet>
</file>

<file path=xl/worksheets/sheet42.xml><?xml version="1.0" encoding="utf-8"?>
<worksheet xmlns="http://schemas.openxmlformats.org/spreadsheetml/2006/main" xmlns:r="http://schemas.openxmlformats.org/officeDocument/2006/relationships">
  <dimension ref="B3:Q58"/>
  <sheetViews>
    <sheetView view="pageBreakPreview" zoomScaleSheetLayoutView="100" zoomScalePageLayoutView="0" workbookViewId="0" topLeftCell="A7">
      <selection activeCell="B2" sqref="B2:Q51"/>
    </sheetView>
  </sheetViews>
  <sheetFormatPr defaultColWidth="9.33203125" defaultRowHeight="12.75"/>
  <cols>
    <col min="1" max="1" width="9.33203125" style="341" customWidth="1"/>
    <col min="2" max="2" width="7.16015625" style="341" customWidth="1"/>
    <col min="3" max="3" width="29.33203125" style="341" customWidth="1"/>
    <col min="4" max="4" width="5.16015625" style="341" hidden="1" customWidth="1"/>
    <col min="5" max="5" width="6.16015625" style="341" hidden="1" customWidth="1"/>
    <col min="6" max="6" width="14.83203125" style="341" customWidth="1"/>
    <col min="7" max="7" width="18" style="341" hidden="1" customWidth="1"/>
    <col min="8" max="8" width="13.66015625" style="341" hidden="1" customWidth="1"/>
    <col min="9" max="9" width="17.83203125" style="341" customWidth="1"/>
    <col min="10" max="10" width="17.5" style="341" customWidth="1"/>
    <col min="11" max="11" width="17.16015625" style="341" customWidth="1"/>
    <col min="12" max="12" width="14.83203125" style="341" customWidth="1"/>
    <col min="13" max="17" width="15.33203125" style="341" customWidth="1"/>
    <col min="18" max="16384" width="9.33203125" style="341" customWidth="1"/>
  </cols>
  <sheetData>
    <row r="3" ht="12.75">
      <c r="I3" s="342" t="s">
        <v>1521</v>
      </c>
    </row>
    <row r="6" spans="3:6" ht="12.75">
      <c r="C6" s="341" t="s">
        <v>1522</v>
      </c>
      <c r="D6" s="342" t="s">
        <v>1523</v>
      </c>
      <c r="E6" s="342"/>
      <c r="F6" s="342"/>
    </row>
    <row r="8" spans="3:9" ht="15.75" customHeight="1">
      <c r="C8" s="1144" t="s">
        <v>1493</v>
      </c>
      <c r="D8" s="1144"/>
      <c r="E8" s="1144"/>
      <c r="F8" s="1144"/>
      <c r="I8" s="342" t="s">
        <v>1404</v>
      </c>
    </row>
    <row r="9" spans="3:9" ht="16.5" customHeight="1">
      <c r="C9" s="1144" t="s">
        <v>1403</v>
      </c>
      <c r="D9" s="1144"/>
      <c r="E9" s="1144"/>
      <c r="F9" s="1144"/>
      <c r="I9" s="342" t="s">
        <v>1402</v>
      </c>
    </row>
    <row r="10" spans="3:12" ht="12.75">
      <c r="C10" s="1144" t="s">
        <v>1492</v>
      </c>
      <c r="D10" s="1144"/>
      <c r="E10" s="1144"/>
      <c r="F10" s="1144"/>
      <c r="I10" s="341" t="s">
        <v>1524</v>
      </c>
      <c r="K10" s="341" t="s">
        <v>1401</v>
      </c>
      <c r="L10" s="341" t="s">
        <v>1490</v>
      </c>
    </row>
    <row r="11" spans="3:9" ht="26.25" customHeight="1">
      <c r="C11" s="1144" t="s">
        <v>1525</v>
      </c>
      <c r="D11" s="1144"/>
      <c r="E11" s="1144"/>
      <c r="F11" s="1144"/>
      <c r="I11" s="341" t="s">
        <v>1526</v>
      </c>
    </row>
    <row r="12" spans="3:9" ht="24.75" customHeight="1">
      <c r="C12" s="1144" t="s">
        <v>1527</v>
      </c>
      <c r="D12" s="1144"/>
      <c r="E12" s="1144"/>
      <c r="F12" s="1144"/>
      <c r="I12" s="341" t="s">
        <v>1528</v>
      </c>
    </row>
    <row r="13" spans="3:9" ht="12.75">
      <c r="C13" s="1144" t="s">
        <v>1529</v>
      </c>
      <c r="D13" s="1144"/>
      <c r="E13" s="1144"/>
      <c r="F13" s="1144"/>
      <c r="I13" s="341" t="s">
        <v>1530</v>
      </c>
    </row>
    <row r="14" spans="3:9" ht="26.25" customHeight="1">
      <c r="C14" s="1144" t="s">
        <v>1531</v>
      </c>
      <c r="D14" s="1144"/>
      <c r="E14" s="1144"/>
      <c r="F14" s="1144"/>
      <c r="I14" s="341" t="s">
        <v>1532</v>
      </c>
    </row>
    <row r="15" spans="3:9" ht="17.25" customHeight="1">
      <c r="C15" s="1144" t="s">
        <v>1533</v>
      </c>
      <c r="D15" s="1144"/>
      <c r="E15" s="1144"/>
      <c r="F15" s="1144"/>
      <c r="I15" s="343" t="s">
        <v>1534</v>
      </c>
    </row>
    <row r="16" spans="3:11" ht="12.75">
      <c r="C16" s="344" t="s">
        <v>1535</v>
      </c>
      <c r="D16" s="342"/>
      <c r="E16" s="342"/>
      <c r="I16" s="341" t="s">
        <v>1536</v>
      </c>
      <c r="K16" s="341" t="s">
        <v>1537</v>
      </c>
    </row>
    <row r="20" spans="11:13" ht="12.75">
      <c r="K20" s="1145" t="s">
        <v>1538</v>
      </c>
      <c r="L20" s="1145"/>
      <c r="M20" s="1145"/>
    </row>
    <row r="22" spans="2:17" ht="89.25">
      <c r="B22" s="345" t="s">
        <v>1467</v>
      </c>
      <c r="C22" s="345" t="s">
        <v>1539</v>
      </c>
      <c r="D22" s="345"/>
      <c r="E22" s="346"/>
      <c r="F22" s="347" t="s">
        <v>1540</v>
      </c>
      <c r="G22" s="1146" t="s">
        <v>1541</v>
      </c>
      <c r="H22" s="1146"/>
      <c r="I22" s="1146" t="s">
        <v>1463</v>
      </c>
      <c r="J22" s="1146"/>
      <c r="K22" s="1146" t="s">
        <v>1463</v>
      </c>
      <c r="L22" s="1146"/>
      <c r="M22" s="1147" t="s">
        <v>1542</v>
      </c>
      <c r="N22" s="1149"/>
      <c r="O22" s="1147" t="s">
        <v>1543</v>
      </c>
      <c r="P22" s="1149"/>
      <c r="Q22" s="347" t="s">
        <v>1544</v>
      </c>
    </row>
    <row r="23" spans="2:17" ht="38.25">
      <c r="B23" s="345"/>
      <c r="C23" s="345"/>
      <c r="D23" s="345"/>
      <c r="E23" s="346"/>
      <c r="F23" s="345"/>
      <c r="G23" s="348" t="s">
        <v>1545</v>
      </c>
      <c r="H23" s="348" t="s">
        <v>1546</v>
      </c>
      <c r="I23" s="349" t="s">
        <v>1547</v>
      </c>
      <c r="J23" s="348" t="s">
        <v>1546</v>
      </c>
      <c r="K23" s="349" t="s">
        <v>1548</v>
      </c>
      <c r="L23" s="348" t="s">
        <v>1546</v>
      </c>
      <c r="M23" s="349" t="s">
        <v>1549</v>
      </c>
      <c r="N23" s="348" t="s">
        <v>1546</v>
      </c>
      <c r="O23" s="348" t="s">
        <v>1550</v>
      </c>
      <c r="P23" s="348" t="s">
        <v>1546</v>
      </c>
      <c r="Q23" s="345"/>
    </row>
    <row r="24" spans="2:17" ht="12.75">
      <c r="B24" s="345">
        <v>1</v>
      </c>
      <c r="C24" s="345">
        <v>2</v>
      </c>
      <c r="D24" s="345"/>
      <c r="E24" s="346"/>
      <c r="F24" s="345">
        <v>3</v>
      </c>
      <c r="G24" s="345">
        <v>4</v>
      </c>
      <c r="H24" s="345">
        <v>5</v>
      </c>
      <c r="I24" s="345">
        <v>8</v>
      </c>
      <c r="J24" s="345">
        <v>9</v>
      </c>
      <c r="K24" s="345">
        <v>10</v>
      </c>
      <c r="L24" s="345"/>
      <c r="M24" s="345"/>
      <c r="N24" s="345"/>
      <c r="O24" s="345"/>
      <c r="P24" s="345"/>
      <c r="Q24" s="345"/>
    </row>
    <row r="25" spans="2:17" ht="12.75">
      <c r="B25" s="345">
        <v>1</v>
      </c>
      <c r="C25" s="350" t="s">
        <v>1551</v>
      </c>
      <c r="D25" s="345"/>
      <c r="E25" s="346"/>
      <c r="F25" s="345"/>
      <c r="G25" s="345">
        <v>20100581</v>
      </c>
      <c r="H25" s="345"/>
      <c r="I25" s="345">
        <v>79328778</v>
      </c>
      <c r="J25" s="345"/>
      <c r="K25" s="345">
        <v>79328778</v>
      </c>
      <c r="L25" s="345"/>
      <c r="M25" s="345">
        <v>79328778</v>
      </c>
      <c r="N25" s="345"/>
      <c r="O25" s="351">
        <v>79328778</v>
      </c>
      <c r="P25" s="345"/>
      <c r="Q25" s="345"/>
    </row>
    <row r="26" spans="2:17" ht="12.75">
      <c r="B26" s="345">
        <v>2</v>
      </c>
      <c r="C26" s="345" t="s">
        <v>1552</v>
      </c>
      <c r="D26" s="345"/>
      <c r="E26" s="346"/>
      <c r="F26" s="345"/>
      <c r="G26" s="345"/>
      <c r="H26" s="345"/>
      <c r="I26" s="345">
        <v>0</v>
      </c>
      <c r="J26" s="345"/>
      <c r="K26" s="345">
        <v>0</v>
      </c>
      <c r="L26" s="345"/>
      <c r="M26" s="345">
        <v>0</v>
      </c>
      <c r="N26" s="345"/>
      <c r="O26" s="351">
        <v>0</v>
      </c>
      <c r="P26" s="345"/>
      <c r="Q26" s="345"/>
    </row>
    <row r="27" spans="2:17" ht="12.75" customHeight="1">
      <c r="B27" s="345">
        <v>3</v>
      </c>
      <c r="C27" s="345" t="s">
        <v>1553</v>
      </c>
      <c r="D27" s="345"/>
      <c r="E27" s="346"/>
      <c r="F27" s="345">
        <v>3.34</v>
      </c>
      <c r="G27" s="345">
        <v>18688894</v>
      </c>
      <c r="H27" s="352">
        <f>+G27*F27/100</f>
        <v>624209.0596</v>
      </c>
      <c r="I27" s="353">
        <v>18688894</v>
      </c>
      <c r="J27" s="354">
        <f>+I27*F27/100</f>
        <v>624209.0596</v>
      </c>
      <c r="K27" s="345">
        <v>18688894</v>
      </c>
      <c r="L27" s="354">
        <f>+K27*F27/100</f>
        <v>624209.0596</v>
      </c>
      <c r="M27" s="345">
        <v>18688894</v>
      </c>
      <c r="N27" s="354">
        <f>+M27*F27/100</f>
        <v>624209.0596</v>
      </c>
      <c r="O27" s="351">
        <v>18688894</v>
      </c>
      <c r="P27" s="354">
        <f>+O27*F27/100</f>
        <v>624209.0596</v>
      </c>
      <c r="Q27" s="355">
        <f aca="true" t="shared" si="0" ref="Q27:Q46">L27+N27+P27</f>
        <v>1872627.1788</v>
      </c>
    </row>
    <row r="28" spans="2:17" ht="12.75" customHeight="1">
      <c r="B28" s="345">
        <v>4</v>
      </c>
      <c r="C28" s="345" t="s">
        <v>1554</v>
      </c>
      <c r="D28" s="345"/>
      <c r="E28" s="346"/>
      <c r="F28" s="345">
        <v>6.33</v>
      </c>
      <c r="G28" s="345">
        <v>2980423</v>
      </c>
      <c r="H28" s="352">
        <f aca="true" t="shared" si="1" ref="H28:H45">+G28*F28/100</f>
        <v>188660.7759</v>
      </c>
      <c r="I28" s="345">
        <v>3549196</v>
      </c>
      <c r="J28" s="354">
        <f aca="true" t="shared" si="2" ref="J28:J46">+I28*F28/100</f>
        <v>224664.1068</v>
      </c>
      <c r="K28" s="345">
        <v>3549196</v>
      </c>
      <c r="L28" s="354">
        <f aca="true" t="shared" si="3" ref="L28:L46">+K28*F28/100</f>
        <v>224664.1068</v>
      </c>
      <c r="M28" s="345">
        <v>3761695</v>
      </c>
      <c r="N28" s="354">
        <f aca="true" t="shared" si="4" ref="N28:N46">+M28*F28/100</f>
        <v>238115.29350000003</v>
      </c>
      <c r="O28" s="351">
        <v>3853262</v>
      </c>
      <c r="P28" s="354">
        <f aca="true" t="shared" si="5" ref="P28:P46">+O28*F28/100</f>
        <v>243911.4846</v>
      </c>
      <c r="Q28" s="355">
        <f t="shared" si="0"/>
        <v>706690.8849000001</v>
      </c>
    </row>
    <row r="29" spans="2:17" ht="12.75" customHeight="1">
      <c r="B29" s="345">
        <v>5</v>
      </c>
      <c r="C29" s="345" t="s">
        <v>1555</v>
      </c>
      <c r="D29" s="345"/>
      <c r="E29" s="346"/>
      <c r="F29" s="345">
        <v>6.33</v>
      </c>
      <c r="G29" s="345">
        <v>3383420</v>
      </c>
      <c r="H29" s="352">
        <f t="shared" si="1"/>
        <v>214170.486</v>
      </c>
      <c r="I29" s="345">
        <v>4453886</v>
      </c>
      <c r="J29" s="354">
        <f t="shared" si="2"/>
        <v>281930.9838</v>
      </c>
      <c r="K29" s="345">
        <v>4477536</v>
      </c>
      <c r="L29" s="354">
        <f t="shared" si="3"/>
        <v>283428.0288</v>
      </c>
      <c r="M29" s="345">
        <v>4544536</v>
      </c>
      <c r="N29" s="354">
        <f t="shared" si="4"/>
        <v>287669.1288</v>
      </c>
      <c r="O29" s="351">
        <v>4564926</v>
      </c>
      <c r="P29" s="354">
        <f t="shared" si="5"/>
        <v>288959.81580000004</v>
      </c>
      <c r="Q29" s="355">
        <f t="shared" si="0"/>
        <v>860056.9734</v>
      </c>
    </row>
    <row r="30" spans="2:17" ht="12.75" customHeight="1">
      <c r="B30" s="345">
        <v>6</v>
      </c>
      <c r="C30" s="345" t="s">
        <v>1556</v>
      </c>
      <c r="D30" s="345"/>
      <c r="E30" s="346"/>
      <c r="F30" s="345">
        <v>9.5</v>
      </c>
      <c r="G30" s="345">
        <v>3810610</v>
      </c>
      <c r="H30" s="352">
        <f t="shared" si="1"/>
        <v>362007.95</v>
      </c>
      <c r="I30" s="345">
        <v>7737921</v>
      </c>
      <c r="J30" s="354">
        <f t="shared" si="2"/>
        <v>735102.495</v>
      </c>
      <c r="K30" s="345">
        <v>7737921</v>
      </c>
      <c r="L30" s="354">
        <f t="shared" si="3"/>
        <v>735102.495</v>
      </c>
      <c r="M30" s="345">
        <v>7148858</v>
      </c>
      <c r="N30" s="354">
        <f t="shared" si="4"/>
        <v>679141.51</v>
      </c>
      <c r="O30" s="351">
        <v>7148858</v>
      </c>
      <c r="P30" s="354">
        <f t="shared" si="5"/>
        <v>679141.51</v>
      </c>
      <c r="Q30" s="355">
        <f t="shared" si="0"/>
        <v>2093385.515</v>
      </c>
    </row>
    <row r="31" spans="2:17" ht="12.75" customHeight="1">
      <c r="B31" s="345">
        <v>7</v>
      </c>
      <c r="C31" s="356" t="s">
        <v>1557</v>
      </c>
      <c r="D31" s="345"/>
      <c r="E31" s="346"/>
      <c r="F31" s="345">
        <v>5.28</v>
      </c>
      <c r="G31" s="345">
        <v>1427021</v>
      </c>
      <c r="H31" s="352">
        <f t="shared" si="1"/>
        <v>75346.70880000001</v>
      </c>
      <c r="I31" s="345">
        <v>1427021</v>
      </c>
      <c r="J31" s="354">
        <f t="shared" si="2"/>
        <v>75346.70880000001</v>
      </c>
      <c r="K31" s="345">
        <v>1427021</v>
      </c>
      <c r="L31" s="354">
        <f t="shared" si="3"/>
        <v>75346.70880000001</v>
      </c>
      <c r="M31" s="345">
        <v>1427021</v>
      </c>
      <c r="N31" s="354">
        <f t="shared" si="4"/>
        <v>75346.70880000001</v>
      </c>
      <c r="O31" s="351">
        <v>1427021</v>
      </c>
      <c r="P31" s="354">
        <f t="shared" si="5"/>
        <v>75346.70880000001</v>
      </c>
      <c r="Q31" s="355">
        <f t="shared" si="0"/>
        <v>226040.1264</v>
      </c>
    </row>
    <row r="32" spans="2:17" ht="12.75" customHeight="1">
      <c r="B32" s="345">
        <v>8</v>
      </c>
      <c r="C32" s="345" t="s">
        <v>1558</v>
      </c>
      <c r="D32" s="345"/>
      <c r="E32" s="346"/>
      <c r="F32" s="345">
        <v>15</v>
      </c>
      <c r="G32" s="345">
        <v>1531776</v>
      </c>
      <c r="H32" s="352">
        <f t="shared" si="1"/>
        <v>229766.4</v>
      </c>
      <c r="I32" s="345">
        <v>2675200</v>
      </c>
      <c r="J32" s="354">
        <f t="shared" si="2"/>
        <v>401280</v>
      </c>
      <c r="K32" s="345">
        <v>2836600</v>
      </c>
      <c r="L32" s="354">
        <f t="shared" si="3"/>
        <v>425490</v>
      </c>
      <c r="M32" s="345">
        <v>2836600</v>
      </c>
      <c r="N32" s="354">
        <f t="shared" si="4"/>
        <v>425490</v>
      </c>
      <c r="O32" s="351">
        <v>2836600</v>
      </c>
      <c r="P32" s="354">
        <f t="shared" si="5"/>
        <v>425490</v>
      </c>
      <c r="Q32" s="355">
        <f t="shared" si="0"/>
        <v>1276470</v>
      </c>
    </row>
    <row r="33" spans="2:17" ht="12.75" customHeight="1">
      <c r="B33" s="345">
        <v>9</v>
      </c>
      <c r="C33" s="345" t="s">
        <v>1559</v>
      </c>
      <c r="D33" s="345"/>
      <c r="E33" s="346"/>
      <c r="F33" s="345">
        <v>5.28</v>
      </c>
      <c r="G33" s="345">
        <v>391468</v>
      </c>
      <c r="H33" s="352">
        <f t="shared" si="1"/>
        <v>20669.5104</v>
      </c>
      <c r="I33" s="345">
        <v>711748</v>
      </c>
      <c r="J33" s="354">
        <f t="shared" si="2"/>
        <v>37580.294400000006</v>
      </c>
      <c r="K33" s="345">
        <v>3900485</v>
      </c>
      <c r="L33" s="354">
        <f t="shared" si="3"/>
        <v>205945.608</v>
      </c>
      <c r="M33" s="345">
        <v>3900485</v>
      </c>
      <c r="N33" s="354">
        <f t="shared" si="4"/>
        <v>205945.608</v>
      </c>
      <c r="O33" s="351">
        <v>3900485</v>
      </c>
      <c r="P33" s="354">
        <f t="shared" si="5"/>
        <v>205945.608</v>
      </c>
      <c r="Q33" s="355">
        <f t="shared" si="0"/>
        <v>617836.824</v>
      </c>
    </row>
    <row r="34" spans="2:17" ht="12.75" customHeight="1">
      <c r="B34" s="345">
        <v>10</v>
      </c>
      <c r="C34" s="345" t="s">
        <v>1560</v>
      </c>
      <c r="D34" s="345"/>
      <c r="E34" s="346"/>
      <c r="F34" s="345">
        <v>3.34</v>
      </c>
      <c r="G34" s="345">
        <v>5677885</v>
      </c>
      <c r="H34" s="352">
        <f t="shared" si="1"/>
        <v>189641.359</v>
      </c>
      <c r="I34" s="345">
        <v>5677885</v>
      </c>
      <c r="J34" s="354">
        <f t="shared" si="2"/>
        <v>189641.359</v>
      </c>
      <c r="K34" s="345">
        <v>5677885</v>
      </c>
      <c r="L34" s="354">
        <f t="shared" si="3"/>
        <v>189641.359</v>
      </c>
      <c r="M34" s="345">
        <v>5677885</v>
      </c>
      <c r="N34" s="354">
        <f t="shared" si="4"/>
        <v>189641.359</v>
      </c>
      <c r="O34" s="351">
        <v>5677885</v>
      </c>
      <c r="P34" s="354">
        <f t="shared" si="5"/>
        <v>189641.359</v>
      </c>
      <c r="Q34" s="355">
        <f t="shared" si="0"/>
        <v>568924.077</v>
      </c>
    </row>
    <row r="35" spans="2:17" ht="12.75" customHeight="1">
      <c r="B35" s="345">
        <v>11</v>
      </c>
      <c r="C35" s="345" t="s">
        <v>1561</v>
      </c>
      <c r="D35" s="345"/>
      <c r="E35" s="346"/>
      <c r="F35" s="345">
        <v>5.28</v>
      </c>
      <c r="G35" s="345">
        <v>1095640224</v>
      </c>
      <c r="H35" s="352">
        <f t="shared" si="1"/>
        <v>57849803.8272</v>
      </c>
      <c r="I35" s="345">
        <v>1111125224</v>
      </c>
      <c r="J35" s="354">
        <f t="shared" si="2"/>
        <v>58667411.8272</v>
      </c>
      <c r="K35" s="345">
        <v>1111125224</v>
      </c>
      <c r="L35" s="354">
        <f t="shared" si="3"/>
        <v>58667411.8272</v>
      </c>
      <c r="M35" s="345">
        <v>1243072811</v>
      </c>
      <c r="N35" s="354">
        <f t="shared" si="4"/>
        <v>65634244.4208</v>
      </c>
      <c r="O35" s="351">
        <v>1243072811</v>
      </c>
      <c r="P35" s="354">
        <f t="shared" si="5"/>
        <v>65634244.4208</v>
      </c>
      <c r="Q35" s="355">
        <f t="shared" si="0"/>
        <v>189935900.6688</v>
      </c>
    </row>
    <row r="36" spans="2:17" ht="12.75" customHeight="1">
      <c r="B36" s="345">
        <v>12</v>
      </c>
      <c r="C36" s="345" t="s">
        <v>1562</v>
      </c>
      <c r="D36" s="345"/>
      <c r="E36" s="345"/>
      <c r="F36" s="345">
        <v>5.28</v>
      </c>
      <c r="G36" s="345">
        <v>64878918</v>
      </c>
      <c r="H36" s="352">
        <f t="shared" si="1"/>
        <v>3425606.8704000004</v>
      </c>
      <c r="I36" s="345">
        <v>64878918</v>
      </c>
      <c r="J36" s="354">
        <f t="shared" si="2"/>
        <v>3425606.8704000004</v>
      </c>
      <c r="K36" s="345">
        <v>64878918</v>
      </c>
      <c r="L36" s="354">
        <f t="shared" si="3"/>
        <v>3425606.8704000004</v>
      </c>
      <c r="M36" s="345">
        <v>64878918</v>
      </c>
      <c r="N36" s="354">
        <f t="shared" si="4"/>
        <v>3425606.8704000004</v>
      </c>
      <c r="O36" s="351">
        <v>64878918</v>
      </c>
      <c r="P36" s="354">
        <f t="shared" si="5"/>
        <v>3425606.8704000004</v>
      </c>
      <c r="Q36" s="355">
        <f t="shared" si="0"/>
        <v>10276820.611200001</v>
      </c>
    </row>
    <row r="37" spans="2:17" ht="12.75" customHeight="1">
      <c r="B37" s="345">
        <v>13</v>
      </c>
      <c r="C37" s="345" t="s">
        <v>1563</v>
      </c>
      <c r="D37" s="345"/>
      <c r="E37" s="345"/>
      <c r="F37" s="345">
        <v>3.34</v>
      </c>
      <c r="G37" s="345">
        <v>131393597</v>
      </c>
      <c r="H37" s="352">
        <f t="shared" si="1"/>
        <v>4388546.1398</v>
      </c>
      <c r="I37" s="345">
        <v>131393597</v>
      </c>
      <c r="J37" s="354">
        <f t="shared" si="2"/>
        <v>4388546.1398</v>
      </c>
      <c r="K37" s="345">
        <v>131393597</v>
      </c>
      <c r="L37" s="354">
        <f t="shared" si="3"/>
        <v>4388546.1398</v>
      </c>
      <c r="M37" s="345">
        <v>131393597</v>
      </c>
      <c r="N37" s="354">
        <f t="shared" si="4"/>
        <v>4388546.1398</v>
      </c>
      <c r="O37" s="351">
        <v>131393597</v>
      </c>
      <c r="P37" s="354">
        <f t="shared" si="5"/>
        <v>4388546.1398</v>
      </c>
      <c r="Q37" s="355">
        <f t="shared" si="0"/>
        <v>13165638.4194</v>
      </c>
    </row>
    <row r="38" spans="2:17" ht="12.75" customHeight="1">
      <c r="B38" s="345">
        <v>14</v>
      </c>
      <c r="C38" s="357" t="s">
        <v>1564</v>
      </c>
      <c r="D38" s="345"/>
      <c r="E38" s="345"/>
      <c r="F38" s="345">
        <v>5.28</v>
      </c>
      <c r="G38" s="345">
        <v>11568190</v>
      </c>
      <c r="H38" s="352">
        <f t="shared" si="1"/>
        <v>610800.432</v>
      </c>
      <c r="I38" s="345">
        <v>11568190</v>
      </c>
      <c r="J38" s="354">
        <f t="shared" si="2"/>
        <v>610800.432</v>
      </c>
      <c r="K38" s="345">
        <v>11568190</v>
      </c>
      <c r="L38" s="354">
        <f t="shared" si="3"/>
        <v>610800.432</v>
      </c>
      <c r="M38" s="345">
        <v>11568190</v>
      </c>
      <c r="N38" s="354">
        <f t="shared" si="4"/>
        <v>610800.432</v>
      </c>
      <c r="O38" s="351">
        <v>11568190</v>
      </c>
      <c r="P38" s="354">
        <f t="shared" si="5"/>
        <v>610800.432</v>
      </c>
      <c r="Q38" s="355">
        <f t="shared" si="0"/>
        <v>1832401.296</v>
      </c>
    </row>
    <row r="39" spans="2:17" ht="12.75" customHeight="1">
      <c r="B39" s="345">
        <v>15</v>
      </c>
      <c r="C39" s="357" t="s">
        <v>1565</v>
      </c>
      <c r="D39" s="345"/>
      <c r="E39" s="345"/>
      <c r="F39" s="345">
        <v>3.34</v>
      </c>
      <c r="G39" s="345"/>
      <c r="H39" s="352">
        <f t="shared" si="1"/>
        <v>0</v>
      </c>
      <c r="I39" s="345">
        <v>0</v>
      </c>
      <c r="J39" s="354">
        <f t="shared" si="2"/>
        <v>0</v>
      </c>
      <c r="K39" s="345">
        <v>0</v>
      </c>
      <c r="L39" s="354">
        <f t="shared" si="3"/>
        <v>0</v>
      </c>
      <c r="M39" s="345">
        <v>0</v>
      </c>
      <c r="N39" s="354">
        <f t="shared" si="4"/>
        <v>0</v>
      </c>
      <c r="O39" s="351">
        <v>0</v>
      </c>
      <c r="P39" s="354">
        <f t="shared" si="5"/>
        <v>0</v>
      </c>
      <c r="Q39" s="355">
        <f t="shared" si="0"/>
        <v>0</v>
      </c>
    </row>
    <row r="40" spans="2:17" ht="12.75" customHeight="1">
      <c r="B40" s="345">
        <v>16</v>
      </c>
      <c r="C40" s="345" t="s">
        <v>1566</v>
      </c>
      <c r="D40" s="345"/>
      <c r="E40" s="345"/>
      <c r="F40" s="345">
        <v>3.34</v>
      </c>
      <c r="G40" s="345">
        <v>14704597</v>
      </c>
      <c r="H40" s="352">
        <f t="shared" si="1"/>
        <v>491133.53979999997</v>
      </c>
      <c r="I40" s="345">
        <v>18526021</v>
      </c>
      <c r="J40" s="354">
        <f t="shared" si="2"/>
        <v>618769.1014</v>
      </c>
      <c r="K40" s="345">
        <v>18526021</v>
      </c>
      <c r="L40" s="354">
        <f t="shared" si="3"/>
        <v>618769.1014</v>
      </c>
      <c r="M40" s="345">
        <v>18526021</v>
      </c>
      <c r="N40" s="354">
        <f t="shared" si="4"/>
        <v>618769.1014</v>
      </c>
      <c r="O40" s="351">
        <v>18526021</v>
      </c>
      <c r="P40" s="354">
        <f t="shared" si="5"/>
        <v>618769.1014</v>
      </c>
      <c r="Q40" s="355">
        <f t="shared" si="0"/>
        <v>1856307.3042000001</v>
      </c>
    </row>
    <row r="41" spans="2:17" ht="12.75" customHeight="1">
      <c r="B41" s="345">
        <v>17</v>
      </c>
      <c r="C41" s="345" t="s">
        <v>1567</v>
      </c>
      <c r="D41" s="345"/>
      <c r="E41" s="345"/>
      <c r="F41" s="345">
        <v>3.34</v>
      </c>
      <c r="G41" s="345">
        <v>16074919</v>
      </c>
      <c r="H41" s="352">
        <f t="shared" si="1"/>
        <v>536902.2946</v>
      </c>
      <c r="I41" s="345">
        <v>16074919</v>
      </c>
      <c r="J41" s="354">
        <f t="shared" si="2"/>
        <v>536902.2946</v>
      </c>
      <c r="K41" s="345">
        <v>16074919</v>
      </c>
      <c r="L41" s="354">
        <f t="shared" si="3"/>
        <v>536902.2946</v>
      </c>
      <c r="M41" s="345">
        <v>16074919</v>
      </c>
      <c r="N41" s="354">
        <f t="shared" si="4"/>
        <v>536902.2946</v>
      </c>
      <c r="O41" s="351">
        <v>16074919</v>
      </c>
      <c r="P41" s="354">
        <f t="shared" si="5"/>
        <v>536902.2946</v>
      </c>
      <c r="Q41" s="355">
        <f t="shared" si="0"/>
        <v>1610706.8838</v>
      </c>
    </row>
    <row r="42" spans="2:17" ht="12.75" customHeight="1">
      <c r="B42" s="345">
        <v>18</v>
      </c>
      <c r="C42" s="345" t="s">
        <v>1568</v>
      </c>
      <c r="D42" s="345"/>
      <c r="E42" s="345"/>
      <c r="F42" s="345">
        <v>3.34</v>
      </c>
      <c r="G42" s="345">
        <v>57000</v>
      </c>
      <c r="H42" s="352">
        <f t="shared" si="1"/>
        <v>1903.8</v>
      </c>
      <c r="I42" s="345">
        <v>57000</v>
      </c>
      <c r="J42" s="354">
        <f t="shared" si="2"/>
        <v>1903.8</v>
      </c>
      <c r="K42" s="345">
        <v>57000</v>
      </c>
      <c r="L42" s="354">
        <f t="shared" si="3"/>
        <v>1903.8</v>
      </c>
      <c r="M42" s="345">
        <v>57000</v>
      </c>
      <c r="N42" s="354">
        <f t="shared" si="4"/>
        <v>1903.8</v>
      </c>
      <c r="O42" s="351">
        <v>57000</v>
      </c>
      <c r="P42" s="354">
        <f t="shared" si="5"/>
        <v>1903.8</v>
      </c>
      <c r="Q42" s="355">
        <f t="shared" si="0"/>
        <v>5711.4</v>
      </c>
    </row>
    <row r="43" spans="2:17" ht="12.75" customHeight="1">
      <c r="B43" s="345">
        <v>19</v>
      </c>
      <c r="C43" s="345" t="s">
        <v>1569</v>
      </c>
      <c r="D43" s="345"/>
      <c r="E43" s="345"/>
      <c r="F43" s="345">
        <v>3.34</v>
      </c>
      <c r="G43" s="345">
        <v>193613</v>
      </c>
      <c r="H43" s="352">
        <f t="shared" si="1"/>
        <v>6466.6741999999995</v>
      </c>
      <c r="I43" s="345">
        <v>193613</v>
      </c>
      <c r="J43" s="354">
        <f t="shared" si="2"/>
        <v>6466.6741999999995</v>
      </c>
      <c r="K43" s="345">
        <v>193613</v>
      </c>
      <c r="L43" s="354">
        <f t="shared" si="3"/>
        <v>6466.6741999999995</v>
      </c>
      <c r="M43" s="345">
        <v>193613</v>
      </c>
      <c r="N43" s="354">
        <f t="shared" si="4"/>
        <v>6466.6741999999995</v>
      </c>
      <c r="O43" s="351">
        <v>193613</v>
      </c>
      <c r="P43" s="354">
        <f t="shared" si="5"/>
        <v>6466.6741999999995</v>
      </c>
      <c r="Q43" s="355">
        <f t="shared" si="0"/>
        <v>19400.022599999997</v>
      </c>
    </row>
    <row r="44" spans="2:17" ht="12.75" customHeight="1">
      <c r="B44" s="345">
        <v>20</v>
      </c>
      <c r="C44" s="345" t="s">
        <v>1570</v>
      </c>
      <c r="D44" s="345"/>
      <c r="E44" s="345"/>
      <c r="F44" s="345">
        <v>5.28</v>
      </c>
      <c r="G44" s="345">
        <v>80181</v>
      </c>
      <c r="H44" s="352">
        <f t="shared" si="1"/>
        <v>4233.5568</v>
      </c>
      <c r="I44" s="345">
        <v>80181</v>
      </c>
      <c r="J44" s="354">
        <f t="shared" si="2"/>
        <v>4233.5568</v>
      </c>
      <c r="K44" s="345">
        <v>80181</v>
      </c>
      <c r="L44" s="354">
        <f t="shared" si="3"/>
        <v>4233.5568</v>
      </c>
      <c r="M44" s="345">
        <v>80181</v>
      </c>
      <c r="N44" s="354">
        <f t="shared" si="4"/>
        <v>4233.5568</v>
      </c>
      <c r="O44" s="351">
        <v>80181</v>
      </c>
      <c r="P44" s="354">
        <f t="shared" si="5"/>
        <v>4233.5568</v>
      </c>
      <c r="Q44" s="355">
        <f t="shared" si="0"/>
        <v>12700.6704</v>
      </c>
    </row>
    <row r="45" spans="2:17" ht="12.75" customHeight="1">
      <c r="B45" s="345">
        <v>21</v>
      </c>
      <c r="C45" s="345" t="s">
        <v>1571</v>
      </c>
      <c r="D45" s="345"/>
      <c r="E45" s="345"/>
      <c r="F45" s="345">
        <v>5.28</v>
      </c>
      <c r="G45" s="345">
        <v>8110828</v>
      </c>
      <c r="H45" s="352">
        <f t="shared" si="1"/>
        <v>428251.7184</v>
      </c>
      <c r="I45" s="345">
        <v>8275065</v>
      </c>
      <c r="J45" s="354">
        <f t="shared" si="2"/>
        <v>436923.43200000003</v>
      </c>
      <c r="K45" s="345">
        <v>8275065</v>
      </c>
      <c r="L45" s="354">
        <f t="shared" si="3"/>
        <v>436923.43200000003</v>
      </c>
      <c r="M45" s="345">
        <v>8275065</v>
      </c>
      <c r="N45" s="354">
        <f t="shared" si="4"/>
        <v>436923.43200000003</v>
      </c>
      <c r="O45" s="351">
        <v>8275065</v>
      </c>
      <c r="P45" s="354">
        <f t="shared" si="5"/>
        <v>436923.43200000003</v>
      </c>
      <c r="Q45" s="355">
        <f t="shared" si="0"/>
        <v>1310770.296</v>
      </c>
    </row>
    <row r="46" spans="2:17" ht="12.75" customHeight="1">
      <c r="B46" s="345">
        <v>22</v>
      </c>
      <c r="C46" s="345" t="s">
        <v>1572</v>
      </c>
      <c r="D46" s="345"/>
      <c r="E46" s="345"/>
      <c r="F46" s="345">
        <v>5.28</v>
      </c>
      <c r="G46" s="345"/>
      <c r="H46" s="352"/>
      <c r="I46" s="345">
        <v>44672932</v>
      </c>
      <c r="J46" s="354">
        <f t="shared" si="2"/>
        <v>2358730.8096000003</v>
      </c>
      <c r="K46" s="345">
        <v>44672932</v>
      </c>
      <c r="L46" s="354">
        <f t="shared" si="3"/>
        <v>2358730.8096000003</v>
      </c>
      <c r="M46" s="345">
        <v>44672932</v>
      </c>
      <c r="N46" s="354">
        <f t="shared" si="4"/>
        <v>2358730.8096000003</v>
      </c>
      <c r="O46" s="351">
        <v>44672932</v>
      </c>
      <c r="P46" s="354">
        <f t="shared" si="5"/>
        <v>2358730.8096000003</v>
      </c>
      <c r="Q46" s="355">
        <f t="shared" si="0"/>
        <v>7076192.428800001</v>
      </c>
    </row>
    <row r="47" spans="2:17" ht="12.75" customHeight="1">
      <c r="B47" s="345"/>
      <c r="C47" s="358" t="s">
        <v>1387</v>
      </c>
      <c r="D47" s="345"/>
      <c r="E47" s="345"/>
      <c r="F47" s="345"/>
      <c r="G47" s="359">
        <f>SUM(G25:G45)</f>
        <v>1400694145</v>
      </c>
      <c r="H47" s="359">
        <f>SUM(H25:H45)</f>
        <v>69648121.10289998</v>
      </c>
      <c r="I47" s="359">
        <f aca="true" t="shared" si="6" ref="I47:Q47">SUM(I25:I46)</f>
        <v>1531096189</v>
      </c>
      <c r="J47" s="359">
        <f t="shared" si="6"/>
        <v>73626049.94539997</v>
      </c>
      <c r="K47" s="359">
        <f t="shared" si="6"/>
        <v>1534469976</v>
      </c>
      <c r="L47" s="359">
        <f t="shared" si="6"/>
        <v>73820122.30399998</v>
      </c>
      <c r="M47" s="359">
        <f t="shared" si="6"/>
        <v>1666107999</v>
      </c>
      <c r="N47" s="359">
        <f t="shared" si="6"/>
        <v>80748686.19929996</v>
      </c>
      <c r="O47" s="359">
        <f t="shared" si="6"/>
        <v>1666219956</v>
      </c>
      <c r="P47" s="359">
        <f t="shared" si="6"/>
        <v>80755773.07739997</v>
      </c>
      <c r="Q47" s="359">
        <f t="shared" si="6"/>
        <v>235324581.58069998</v>
      </c>
    </row>
    <row r="48" spans="2:17" ht="12.75">
      <c r="B48" s="350" t="s">
        <v>1382</v>
      </c>
      <c r="C48" s="350"/>
      <c r="D48" s="350"/>
      <c r="E48" s="350"/>
      <c r="F48" s="350"/>
      <c r="G48" s="350"/>
      <c r="H48" s="350"/>
      <c r="I48" s="350"/>
      <c r="J48" s="350"/>
      <c r="K48" s="350"/>
      <c r="L48" s="350"/>
      <c r="M48" s="350"/>
      <c r="N48" s="350"/>
      <c r="O48" s="350"/>
      <c r="P48" s="350"/>
      <c r="Q48" s="350"/>
    </row>
    <row r="49" spans="2:17" ht="12.75">
      <c r="B49" s="350" t="s">
        <v>1573</v>
      </c>
      <c r="C49" s="350"/>
      <c r="D49" s="350"/>
      <c r="E49" s="350"/>
      <c r="F49" s="350"/>
      <c r="G49" s="350"/>
      <c r="H49" s="360">
        <f>+H47/(G47-G25)*100</f>
        <v>5.044795435747807</v>
      </c>
      <c r="I49" s="350"/>
      <c r="J49" s="360">
        <f>+J47/(I47-I25)*100</f>
        <v>5.071476972656742</v>
      </c>
      <c r="K49" s="360"/>
      <c r="L49" s="360">
        <f>+L47/(K47-K25)*100</f>
        <v>5.073055618620454</v>
      </c>
      <c r="M49" s="360"/>
      <c r="N49" s="360">
        <f>+N47/(M47-M25)*100</f>
        <v>5.08884192146224</v>
      </c>
      <c r="O49" s="360"/>
      <c r="P49" s="360">
        <f>+P47/(O47-O25)*100</f>
        <v>5.088929486593942</v>
      </c>
      <c r="Q49" s="361"/>
    </row>
    <row r="51" ht="12.75">
      <c r="B51" s="341" t="s">
        <v>1574</v>
      </c>
    </row>
    <row r="52" spans="8:12" ht="15">
      <c r="H52" s="362"/>
      <c r="I52" s="363"/>
      <c r="J52" s="364"/>
      <c r="K52" s="364"/>
      <c r="L52" s="364"/>
    </row>
    <row r="53" spans="8:13" ht="15">
      <c r="H53" s="362"/>
      <c r="I53" s="363"/>
      <c r="J53" s="364"/>
      <c r="K53" s="364"/>
      <c r="L53" s="364"/>
      <c r="M53" s="341">
        <f>6.98/(146.45-7.93)*100</f>
        <v>5.038983540282993</v>
      </c>
    </row>
    <row r="54" spans="7:15" ht="15">
      <c r="G54" s="362"/>
      <c r="H54" s="362"/>
      <c r="I54" s="363"/>
      <c r="J54" s="364"/>
      <c r="O54" s="365">
        <f>+O47-O25</f>
        <v>1586891178</v>
      </c>
    </row>
    <row r="55" spans="9:15" ht="15.75">
      <c r="I55" s="366"/>
      <c r="J55" s="366"/>
      <c r="K55" s="366"/>
      <c r="O55" s="341">
        <f>+O54*0.9</f>
        <v>1428202060.2</v>
      </c>
    </row>
    <row r="56" ht="12.75">
      <c r="N56" s="367"/>
    </row>
    <row r="57" spans="10:15" ht="12.75">
      <c r="J57" s="341">
        <f>+K47*0.9</f>
        <v>1381022978.4</v>
      </c>
      <c r="N57" s="367"/>
      <c r="O57" s="368"/>
    </row>
    <row r="58" ht="12.75">
      <c r="J58" s="341">
        <f>564405/18688894</f>
        <v>0.03020002146729496</v>
      </c>
    </row>
  </sheetData>
  <sheetProtection/>
  <mergeCells count="14">
    <mergeCell ref="O22:P22"/>
    <mergeCell ref="C14:F14"/>
    <mergeCell ref="C15:F15"/>
    <mergeCell ref="K20:M20"/>
    <mergeCell ref="G22:H22"/>
    <mergeCell ref="I22:J22"/>
    <mergeCell ref="K22:L22"/>
    <mergeCell ref="M22:N22"/>
    <mergeCell ref="C13:F13"/>
    <mergeCell ref="C8:F8"/>
    <mergeCell ref="C9:F9"/>
    <mergeCell ref="C10:F10"/>
    <mergeCell ref="C11:F11"/>
    <mergeCell ref="C12:F12"/>
  </mergeCells>
  <printOptions/>
  <pageMargins left="0.7480314960629921" right="0.7480314960629921" top="0.5511811023622047" bottom="0.4724409448818898" header="0.35433070866141736" footer="0.35433070866141736"/>
  <pageSetup horizontalDpi="600" verticalDpi="600" orientation="landscape" scale="65" r:id="rId1"/>
</worksheet>
</file>

<file path=xl/worksheets/sheet43.xml><?xml version="1.0" encoding="utf-8"?>
<worksheet xmlns="http://schemas.openxmlformats.org/spreadsheetml/2006/main" xmlns:r="http://schemas.openxmlformats.org/officeDocument/2006/relationships">
  <dimension ref="B4:J41"/>
  <sheetViews>
    <sheetView view="pageBreakPreview" zoomScaleSheetLayoutView="100" zoomScalePageLayoutView="0" workbookViewId="0" topLeftCell="A7">
      <selection activeCell="A3" sqref="A3:J41"/>
    </sheetView>
  </sheetViews>
  <sheetFormatPr defaultColWidth="9.33203125" defaultRowHeight="12.75"/>
  <cols>
    <col min="1" max="1" width="9.33203125" style="90" customWidth="1"/>
    <col min="2" max="2" width="6.5" style="90" customWidth="1"/>
    <col min="3" max="3" width="44.16015625" style="90" customWidth="1"/>
    <col min="4" max="16384" width="9.33203125" style="90" customWidth="1"/>
  </cols>
  <sheetData>
    <row r="4" ht="12.75">
      <c r="G4" s="198" t="s">
        <v>1496</v>
      </c>
    </row>
    <row r="8" spans="3:4" ht="12.75">
      <c r="C8" s="90" t="s">
        <v>1497</v>
      </c>
      <c r="D8" s="198" t="s">
        <v>1404</v>
      </c>
    </row>
    <row r="9" ht="12.75">
      <c r="C9" s="201" t="s">
        <v>1498</v>
      </c>
    </row>
    <row r="10" ht="12.75">
      <c r="C10" s="90" t="s">
        <v>1499</v>
      </c>
    </row>
    <row r="12" spans="2:9" ht="12.75">
      <c r="B12" s="225" t="s">
        <v>1400</v>
      </c>
      <c r="C12" s="225" t="s">
        <v>1500</v>
      </c>
      <c r="D12" s="225" t="s">
        <v>1501</v>
      </c>
      <c r="E12" s="225"/>
      <c r="F12" s="225" t="s">
        <v>1502</v>
      </c>
      <c r="G12" s="225"/>
      <c r="H12" s="225" t="s">
        <v>1503</v>
      </c>
      <c r="I12" s="225"/>
    </row>
    <row r="13" spans="2:9" ht="12.75">
      <c r="B13" s="225"/>
      <c r="C13" s="225"/>
      <c r="D13" s="225" t="s">
        <v>1504</v>
      </c>
      <c r="E13" s="225"/>
      <c r="F13" s="225" t="s">
        <v>1504</v>
      </c>
      <c r="G13" s="225"/>
      <c r="H13" s="225"/>
      <c r="I13" s="225"/>
    </row>
    <row r="14" spans="2:9" ht="12.75">
      <c r="B14" s="225"/>
      <c r="C14" s="225"/>
      <c r="D14" s="225"/>
      <c r="E14" s="225"/>
      <c r="F14" s="225"/>
      <c r="G14" s="225"/>
      <c r="H14" s="225"/>
      <c r="I14" s="225"/>
    </row>
    <row r="15" spans="2:9" ht="12.75">
      <c r="B15" s="225">
        <v>1</v>
      </c>
      <c r="C15" s="225">
        <v>2</v>
      </c>
      <c r="D15" s="1176">
        <v>3</v>
      </c>
      <c r="E15" s="1177"/>
      <c r="F15" s="1176">
        <v>4</v>
      </c>
      <c r="G15" s="1177"/>
      <c r="H15" s="225">
        <v>5</v>
      </c>
      <c r="I15" s="225"/>
    </row>
    <row r="16" spans="2:9" ht="12.75">
      <c r="B16" s="225"/>
      <c r="C16" s="225"/>
      <c r="D16" s="225"/>
      <c r="E16" s="225"/>
      <c r="F16" s="225"/>
      <c r="G16" s="225"/>
      <c r="H16" s="225"/>
      <c r="I16" s="225"/>
    </row>
    <row r="17" spans="2:9" ht="12.75">
      <c r="B17" s="225">
        <v>1</v>
      </c>
      <c r="C17" s="286" t="s">
        <v>1505</v>
      </c>
      <c r="D17" s="1165">
        <f>'Tariff calc 24-25'!N22</f>
        <v>49.755</v>
      </c>
      <c r="E17" s="1166"/>
      <c r="F17" s="1165">
        <f>'Tariff calc 24-25'!N23</f>
        <v>116.095</v>
      </c>
      <c r="G17" s="1166"/>
      <c r="H17" s="225">
        <v>70</v>
      </c>
      <c r="I17" s="225">
        <v>30</v>
      </c>
    </row>
    <row r="18" spans="2:9" ht="12.75">
      <c r="B18" s="225">
        <v>2</v>
      </c>
      <c r="C18" s="286" t="s">
        <v>1506</v>
      </c>
      <c r="D18" s="1165">
        <f>'Tariff calc 24-25'!O22</f>
        <v>49.332</v>
      </c>
      <c r="E18" s="1166"/>
      <c r="F18" s="1165">
        <f>'Tariff calc 24-25'!O23</f>
        <v>115.108</v>
      </c>
      <c r="G18" s="1166"/>
      <c r="H18" s="225">
        <v>70</v>
      </c>
      <c r="I18" s="225">
        <v>30</v>
      </c>
    </row>
    <row r="19" spans="2:9" ht="12.75">
      <c r="B19" s="340">
        <v>3</v>
      </c>
      <c r="C19" s="286" t="s">
        <v>1507</v>
      </c>
      <c r="D19" s="1165">
        <f>'Tariff calc 24-25'!P22</f>
        <v>49.332</v>
      </c>
      <c r="E19" s="1166"/>
      <c r="F19" s="1165">
        <f>'Tariff calc 24-25'!P23</f>
        <v>115.108</v>
      </c>
      <c r="G19" s="1166"/>
      <c r="H19" s="225">
        <v>70</v>
      </c>
      <c r="I19" s="225">
        <v>30</v>
      </c>
    </row>
    <row r="22" ht="12.75">
      <c r="H22" s="198" t="s">
        <v>1508</v>
      </c>
    </row>
    <row r="24" spans="3:4" ht="12.75">
      <c r="C24" s="90" t="s">
        <v>1497</v>
      </c>
      <c r="D24" s="198" t="s">
        <v>1404</v>
      </c>
    </row>
    <row r="25" ht="12.75">
      <c r="C25" s="201" t="s">
        <v>1498</v>
      </c>
    </row>
    <row r="26" spans="3:4" ht="12.75">
      <c r="C26" s="90" t="s">
        <v>1509</v>
      </c>
      <c r="D26" s="90" t="s">
        <v>1510</v>
      </c>
    </row>
    <row r="29" ht="12.75">
      <c r="H29" s="90" t="s">
        <v>1511</v>
      </c>
    </row>
    <row r="31" spans="2:10" ht="12.75">
      <c r="B31" s="225" t="s">
        <v>1400</v>
      </c>
      <c r="C31" s="225" t="s">
        <v>1509</v>
      </c>
      <c r="D31" s="225" t="s">
        <v>1512</v>
      </c>
      <c r="E31" s="225"/>
      <c r="F31" s="225" t="s">
        <v>1513</v>
      </c>
      <c r="G31" s="225"/>
      <c r="H31" s="225" t="s">
        <v>1514</v>
      </c>
      <c r="I31" s="225"/>
      <c r="J31" s="225"/>
    </row>
    <row r="32" spans="2:10" ht="12.75">
      <c r="B32" s="225"/>
      <c r="C32" s="225"/>
      <c r="D32" s="225" t="s">
        <v>1515</v>
      </c>
      <c r="E32" s="225"/>
      <c r="F32" s="225"/>
      <c r="G32" s="225"/>
      <c r="H32" s="225"/>
      <c r="I32" s="225"/>
      <c r="J32" s="225"/>
    </row>
    <row r="33" spans="2:10" ht="12.75">
      <c r="B33" s="225">
        <v>1</v>
      </c>
      <c r="C33" s="225">
        <v>2</v>
      </c>
      <c r="D33" s="225">
        <v>3</v>
      </c>
      <c r="E33" s="225"/>
      <c r="F33" s="225">
        <v>4</v>
      </c>
      <c r="G33" s="225"/>
      <c r="H33" s="225">
        <v>5</v>
      </c>
      <c r="I33" s="225"/>
      <c r="J33" s="225"/>
    </row>
    <row r="34" spans="2:10" ht="12.75">
      <c r="B34" s="225"/>
      <c r="C34" s="225"/>
      <c r="D34" s="225"/>
      <c r="E34" s="225"/>
      <c r="F34" s="225"/>
      <c r="G34" s="225"/>
      <c r="H34" s="225"/>
      <c r="I34" s="225"/>
      <c r="J34" s="225"/>
    </row>
    <row r="35" spans="2:10" ht="12.75">
      <c r="B35" s="225">
        <v>1</v>
      </c>
      <c r="C35" s="225" t="s">
        <v>1516</v>
      </c>
      <c r="D35" s="225"/>
      <c r="E35" s="1167" t="s">
        <v>1510</v>
      </c>
      <c r="F35" s="1168"/>
      <c r="G35" s="1169"/>
      <c r="H35" s="225"/>
      <c r="I35" s="225"/>
      <c r="J35" s="225"/>
    </row>
    <row r="36" spans="2:10" ht="12.75">
      <c r="B36" s="225">
        <v>2</v>
      </c>
      <c r="C36" s="225" t="s">
        <v>1517</v>
      </c>
      <c r="D36" s="225"/>
      <c r="E36" s="1170"/>
      <c r="F36" s="1171"/>
      <c r="G36" s="1172"/>
      <c r="H36" s="225"/>
      <c r="I36" s="225"/>
      <c r="J36" s="225"/>
    </row>
    <row r="37" spans="2:10" ht="12.75">
      <c r="B37" s="225">
        <v>3</v>
      </c>
      <c r="C37" s="250" t="s">
        <v>1518</v>
      </c>
      <c r="D37" s="225"/>
      <c r="E37" s="1170"/>
      <c r="F37" s="1171"/>
      <c r="G37" s="1172"/>
      <c r="H37" s="225"/>
      <c r="I37" s="225"/>
      <c r="J37" s="225"/>
    </row>
    <row r="38" spans="2:10" ht="12.75">
      <c r="B38" s="225">
        <v>4</v>
      </c>
      <c r="C38" s="250" t="s">
        <v>1519</v>
      </c>
      <c r="D38" s="225"/>
      <c r="E38" s="1170"/>
      <c r="F38" s="1171"/>
      <c r="G38" s="1172"/>
      <c r="H38" s="225"/>
      <c r="I38" s="225"/>
      <c r="J38" s="225"/>
    </row>
    <row r="39" spans="2:10" ht="12.75">
      <c r="B39" s="225">
        <v>5</v>
      </c>
      <c r="C39" s="225" t="s">
        <v>1509</v>
      </c>
      <c r="D39" s="225"/>
      <c r="E39" s="1173"/>
      <c r="F39" s="1174"/>
      <c r="G39" s="1175"/>
      <c r="H39" s="225"/>
      <c r="I39" s="225"/>
      <c r="J39" s="225"/>
    </row>
    <row r="41" ht="12.75">
      <c r="C41" s="90" t="s">
        <v>1520</v>
      </c>
    </row>
  </sheetData>
  <sheetProtection/>
  <mergeCells count="9">
    <mergeCell ref="D19:E19"/>
    <mergeCell ref="F19:G19"/>
    <mergeCell ref="E35:G39"/>
    <mergeCell ref="D15:E15"/>
    <mergeCell ref="F15:G15"/>
    <mergeCell ref="D17:E17"/>
    <mergeCell ref="F17:G17"/>
    <mergeCell ref="D18:E18"/>
    <mergeCell ref="F18:G18"/>
  </mergeCells>
  <printOptions/>
  <pageMargins left="0.75" right="0.75" top="1" bottom="1" header="0.5" footer="0.5"/>
  <pageSetup horizontalDpi="600" verticalDpi="600" orientation="portrait" scale="75" r:id="rId1"/>
</worksheet>
</file>

<file path=xl/worksheets/sheet44.xml><?xml version="1.0" encoding="utf-8"?>
<worksheet xmlns="http://schemas.openxmlformats.org/spreadsheetml/2006/main" xmlns:r="http://schemas.openxmlformats.org/officeDocument/2006/relationships">
  <dimension ref="A4:J49"/>
  <sheetViews>
    <sheetView view="pageBreakPreview" zoomScaleSheetLayoutView="100" zoomScalePageLayoutView="0" workbookViewId="0" topLeftCell="A1">
      <selection activeCell="A2" sqref="A2:J49"/>
    </sheetView>
  </sheetViews>
  <sheetFormatPr defaultColWidth="9.33203125" defaultRowHeight="12.75"/>
  <cols>
    <col min="1" max="1" width="7.66015625" style="90" customWidth="1"/>
    <col min="2" max="2" width="9.33203125" style="90" customWidth="1"/>
    <col min="3" max="3" width="21" style="90" customWidth="1"/>
    <col min="4" max="4" width="9.33203125" style="90" customWidth="1"/>
    <col min="5" max="5" width="6" style="90" customWidth="1"/>
    <col min="6" max="6" width="12" style="90" customWidth="1"/>
    <col min="7" max="7" width="16.5" style="90" customWidth="1"/>
    <col min="8" max="8" width="12" style="90" customWidth="1"/>
    <col min="9" max="9" width="13.33203125" style="90" customWidth="1"/>
    <col min="10" max="10" width="17" style="90" customWidth="1"/>
    <col min="11" max="16384" width="9.33203125" style="90" customWidth="1"/>
  </cols>
  <sheetData>
    <row r="4" spans="2:8" ht="15">
      <c r="B4" s="338"/>
      <c r="C4" s="338"/>
      <c r="D4" s="338"/>
      <c r="E4" s="338"/>
      <c r="F4" s="338"/>
      <c r="G4" s="338"/>
      <c r="H4" s="339" t="s">
        <v>1495</v>
      </c>
    </row>
    <row r="5" spans="2:7" ht="15">
      <c r="B5" s="338"/>
      <c r="C5" s="338"/>
      <c r="D5" s="338"/>
      <c r="E5" s="338"/>
      <c r="F5" s="338"/>
      <c r="G5" s="338"/>
    </row>
    <row r="6" spans="2:7" ht="15">
      <c r="B6" s="338"/>
      <c r="C6" s="338" t="s">
        <v>1494</v>
      </c>
      <c r="D6" s="338"/>
      <c r="E6" s="338"/>
      <c r="F6" s="338"/>
      <c r="G6" s="338"/>
    </row>
    <row r="8" spans="2:4" ht="12.75">
      <c r="B8" s="90" t="s">
        <v>1493</v>
      </c>
      <c r="D8" s="198" t="s">
        <v>1404</v>
      </c>
    </row>
    <row r="9" spans="2:4" ht="12.75">
      <c r="B9" s="90" t="s">
        <v>1403</v>
      </c>
      <c r="D9" s="198" t="s">
        <v>1402</v>
      </c>
    </row>
    <row r="10" spans="2:7" ht="12.75">
      <c r="B10" s="90" t="s">
        <v>1492</v>
      </c>
      <c r="C10" s="90" t="s">
        <v>1491</v>
      </c>
      <c r="F10" s="90" t="s">
        <v>1401</v>
      </c>
      <c r="G10" s="90" t="s">
        <v>1490</v>
      </c>
    </row>
    <row r="13" spans="2:4" ht="12.75">
      <c r="B13" s="90" t="s">
        <v>1489</v>
      </c>
      <c r="D13" s="201" t="s">
        <v>1488</v>
      </c>
    </row>
    <row r="15" spans="1:9" ht="34.5" customHeight="1">
      <c r="A15" s="90" t="s">
        <v>1487</v>
      </c>
      <c r="B15" s="1178" t="s">
        <v>1486</v>
      </c>
      <c r="C15" s="1179"/>
      <c r="D15" s="1179"/>
      <c r="E15" s="1180"/>
      <c r="F15" s="1178" t="s">
        <v>1485</v>
      </c>
      <c r="G15" s="1179"/>
      <c r="H15" s="1179"/>
      <c r="I15" s="1180"/>
    </row>
    <row r="16" spans="1:9" ht="12.75">
      <c r="A16" s="90" t="s">
        <v>1484</v>
      </c>
      <c r="B16" s="1181" t="s">
        <v>1483</v>
      </c>
      <c r="C16" s="1181"/>
      <c r="D16" s="1181"/>
      <c r="E16" s="1181"/>
      <c r="F16" s="1135" t="s">
        <v>1482</v>
      </c>
      <c r="G16" s="1135"/>
      <c r="H16" s="1135"/>
      <c r="I16" s="1135"/>
    </row>
    <row r="17" spans="1:9" ht="12.75">
      <c r="A17" s="90" t="s">
        <v>1481</v>
      </c>
      <c r="B17" s="1181" t="s">
        <v>1480</v>
      </c>
      <c r="C17" s="1181"/>
      <c r="D17" s="1181"/>
      <c r="E17" s="1181"/>
      <c r="F17" s="1135"/>
      <c r="G17" s="1135"/>
      <c r="H17" s="1135"/>
      <c r="I17" s="1135"/>
    </row>
    <row r="18" spans="1:9" ht="12.75">
      <c r="A18" s="90" t="s">
        <v>1479</v>
      </c>
      <c r="B18" s="1181" t="s">
        <v>1478</v>
      </c>
      <c r="C18" s="1181"/>
      <c r="D18" s="1181"/>
      <c r="E18" s="1181"/>
      <c r="F18" s="1135" t="s">
        <v>1477</v>
      </c>
      <c r="G18" s="1135"/>
      <c r="H18" s="1135"/>
      <c r="I18" s="1135"/>
    </row>
    <row r="19" spans="1:9" ht="12.75">
      <c r="A19" s="90" t="s">
        <v>1476</v>
      </c>
      <c r="B19" s="1181" t="s">
        <v>1475</v>
      </c>
      <c r="C19" s="1181"/>
      <c r="D19" s="1181"/>
      <c r="E19" s="1181"/>
      <c r="F19" s="1135" t="s">
        <v>1474</v>
      </c>
      <c r="G19" s="1135"/>
      <c r="H19" s="1135"/>
      <c r="I19" s="1135"/>
    </row>
    <row r="22" spans="2:9" ht="12.75">
      <c r="B22" s="1176" t="s">
        <v>1473</v>
      </c>
      <c r="C22" s="1185"/>
      <c r="D22" s="1177"/>
      <c r="E22" s="1176" t="s">
        <v>1472</v>
      </c>
      <c r="F22" s="1177"/>
      <c r="G22" s="225" t="s">
        <v>1471</v>
      </c>
      <c r="H22" s="1176" t="s">
        <v>1470</v>
      </c>
      <c r="I22" s="1177"/>
    </row>
    <row r="23" spans="2:9" ht="12.75">
      <c r="B23" s="225"/>
      <c r="C23" s="225"/>
      <c r="D23" s="225"/>
      <c r="E23" s="225"/>
      <c r="F23" s="225"/>
      <c r="G23" s="225"/>
      <c r="H23" s="225"/>
      <c r="I23" s="225"/>
    </row>
    <row r="24" spans="2:9" ht="12.75">
      <c r="B24" s="1135" t="s">
        <v>1469</v>
      </c>
      <c r="C24" s="1135"/>
      <c r="D24" s="1135"/>
      <c r="E24" s="1176" t="s">
        <v>1468</v>
      </c>
      <c r="F24" s="1177"/>
      <c r="G24" s="225"/>
      <c r="H24" s="225"/>
      <c r="I24" s="225"/>
    </row>
    <row r="26" spans="1:10" s="198" customFormat="1" ht="12.75">
      <c r="A26" s="336" t="s">
        <v>1467</v>
      </c>
      <c r="B26" s="1182" t="s">
        <v>1355</v>
      </c>
      <c r="C26" s="1184"/>
      <c r="D26" s="336" t="s">
        <v>1466</v>
      </c>
      <c r="E26" s="336" t="s">
        <v>1465</v>
      </c>
      <c r="F26" s="336" t="s">
        <v>1464</v>
      </c>
      <c r="G26" s="1182" t="s">
        <v>1463</v>
      </c>
      <c r="H26" s="1183"/>
      <c r="I26" s="1184"/>
      <c r="J26" s="336" t="s">
        <v>1462</v>
      </c>
    </row>
    <row r="27" spans="1:10" ht="12.75">
      <c r="A27" s="225"/>
      <c r="B27" s="1176"/>
      <c r="C27" s="1177"/>
      <c r="D27" s="225"/>
      <c r="E27" s="225"/>
      <c r="F27" s="225"/>
      <c r="G27" s="336" t="s">
        <v>1360</v>
      </c>
      <c r="H27" s="336" t="s">
        <v>1359</v>
      </c>
      <c r="I27" s="336" t="s">
        <v>1358</v>
      </c>
      <c r="J27" s="336" t="s">
        <v>1357</v>
      </c>
    </row>
    <row r="28" spans="1:10" ht="12.75">
      <c r="A28" s="225"/>
      <c r="B28" s="1176"/>
      <c r="C28" s="1177"/>
      <c r="D28" s="225"/>
      <c r="E28" s="225"/>
      <c r="F28" s="225"/>
      <c r="G28" s="336" t="s">
        <v>1461</v>
      </c>
      <c r="H28" s="337" t="s">
        <v>1461</v>
      </c>
      <c r="I28" s="336" t="s">
        <v>1461</v>
      </c>
      <c r="J28" s="336" t="s">
        <v>1461</v>
      </c>
    </row>
    <row r="29" spans="1:10" s="198" customFormat="1" ht="12.75">
      <c r="A29" s="336">
        <v>1</v>
      </c>
      <c r="B29" s="1182">
        <v>2</v>
      </c>
      <c r="C29" s="1184"/>
      <c r="D29" s="336">
        <v>3</v>
      </c>
      <c r="E29" s="336">
        <v>4</v>
      </c>
      <c r="F29" s="336">
        <v>5</v>
      </c>
      <c r="G29" s="336">
        <v>6</v>
      </c>
      <c r="H29" s="336">
        <v>7</v>
      </c>
      <c r="I29" s="336">
        <v>8</v>
      </c>
      <c r="J29" s="336">
        <v>9</v>
      </c>
    </row>
    <row r="30" spans="1:10" s="198" customFormat="1" ht="12.75">
      <c r="A30" s="330"/>
      <c r="B30" s="1182"/>
      <c r="C30" s="1184"/>
      <c r="D30" s="330"/>
      <c r="E30" s="330"/>
      <c r="F30" s="330"/>
      <c r="G30" s="330"/>
      <c r="H30" s="330"/>
      <c r="I30" s="330"/>
      <c r="J30" s="231"/>
    </row>
    <row r="31" spans="1:10" ht="12.75">
      <c r="A31" s="225">
        <v>1</v>
      </c>
      <c r="B31" s="225" t="s">
        <v>1460</v>
      </c>
      <c r="C31" s="225"/>
      <c r="D31" s="225" t="s">
        <v>1353</v>
      </c>
      <c r="E31" s="225"/>
      <c r="F31" s="225"/>
      <c r="G31" s="214">
        <v>32.5</v>
      </c>
      <c r="H31" s="214">
        <v>32.5</v>
      </c>
      <c r="I31" s="214">
        <v>32.5</v>
      </c>
      <c r="J31" s="214">
        <v>32.5</v>
      </c>
    </row>
    <row r="32" spans="1:10" ht="12.75">
      <c r="A32" s="225">
        <v>2</v>
      </c>
      <c r="B32" s="1186" t="s">
        <v>1219</v>
      </c>
      <c r="C32" s="1187"/>
      <c r="D32" s="225" t="s">
        <v>1284</v>
      </c>
      <c r="E32" s="225"/>
      <c r="F32" s="225"/>
      <c r="G32" s="214">
        <v>80.9</v>
      </c>
      <c r="H32" s="214">
        <v>80.63</v>
      </c>
      <c r="I32" s="217">
        <f>'[6]HR 18-19'!V44</f>
        <v>80.63498068141904</v>
      </c>
      <c r="J32" s="217">
        <f>'[1]HR 19-20'!V44</f>
        <v>89.2182009247583</v>
      </c>
    </row>
    <row r="33" spans="1:10" ht="12.75">
      <c r="A33" s="225">
        <v>3</v>
      </c>
      <c r="B33" s="225" t="s">
        <v>1352</v>
      </c>
      <c r="C33" s="225"/>
      <c r="D33" s="225" t="s">
        <v>1454</v>
      </c>
      <c r="E33" s="225" t="s">
        <v>1459</v>
      </c>
      <c r="F33" s="225"/>
      <c r="G33" s="214">
        <v>230.33</v>
      </c>
      <c r="H33" s="214">
        <v>229.57</v>
      </c>
      <c r="I33" s="217">
        <f>'[6]HR 18-19'!O42</f>
        <v>229.56779</v>
      </c>
      <c r="J33" s="217">
        <f>'[1]HR 19-20'!O42</f>
        <v>254.70012</v>
      </c>
    </row>
    <row r="34" spans="1:10" ht="12.75">
      <c r="A34" s="225">
        <v>4</v>
      </c>
      <c r="B34" s="225" t="s">
        <v>1456</v>
      </c>
      <c r="C34" s="225"/>
      <c r="D34" s="225" t="s">
        <v>1458</v>
      </c>
      <c r="E34" s="1188" t="s">
        <v>1457</v>
      </c>
      <c r="F34" s="225"/>
      <c r="G34" s="214">
        <v>6.79</v>
      </c>
      <c r="H34" s="214">
        <v>6.7</v>
      </c>
      <c r="I34" s="217">
        <f>'[6]HR 18-19'!R41</f>
        <v>6.701571505305687</v>
      </c>
      <c r="J34" s="217">
        <f>'[1]HR 19-20'!P43</f>
        <v>5.695796923849113</v>
      </c>
    </row>
    <row r="35" spans="1:10" ht="12.75">
      <c r="A35" s="225">
        <v>5</v>
      </c>
      <c r="B35" s="225" t="s">
        <v>1456</v>
      </c>
      <c r="C35" s="225"/>
      <c r="D35" s="225" t="s">
        <v>1454</v>
      </c>
      <c r="E35" s="1189"/>
      <c r="F35" s="225"/>
      <c r="G35" s="214">
        <v>15.33</v>
      </c>
      <c r="H35" s="214">
        <v>15.38</v>
      </c>
      <c r="I35" s="217">
        <f>'[6]HR 18-19'!P42</f>
        <v>15.384649599999998</v>
      </c>
      <c r="J35" s="217">
        <f>'[1]HR 19-20'!P42</f>
        <v>14.5072016</v>
      </c>
    </row>
    <row r="36" spans="1:10" ht="12.75">
      <c r="A36" s="225">
        <v>6</v>
      </c>
      <c r="B36" s="225" t="s">
        <v>1455</v>
      </c>
      <c r="C36" s="225"/>
      <c r="D36" s="225" t="s">
        <v>1454</v>
      </c>
      <c r="E36" s="225" t="s">
        <v>1453</v>
      </c>
      <c r="F36" s="225" t="s">
        <v>1452</v>
      </c>
      <c r="G36" s="214">
        <f>G33-G35</f>
        <v>215</v>
      </c>
      <c r="H36" s="214">
        <v>214.18</v>
      </c>
      <c r="I36" s="217">
        <f>I33-I35</f>
        <v>214.1831404</v>
      </c>
      <c r="J36" s="217">
        <f>J33-J35</f>
        <v>240.1929184</v>
      </c>
    </row>
    <row r="37" spans="1:10" ht="12.75">
      <c r="A37" s="225">
        <v>7</v>
      </c>
      <c r="B37" s="225" t="s">
        <v>1451</v>
      </c>
      <c r="C37" s="225"/>
      <c r="D37" s="225" t="s">
        <v>1450</v>
      </c>
      <c r="E37" s="225" t="s">
        <v>1449</v>
      </c>
      <c r="F37" s="225"/>
      <c r="G37" s="333">
        <v>2949.16</v>
      </c>
      <c r="H37" s="333">
        <v>2700.56</v>
      </c>
      <c r="I37" s="333">
        <f>'[6]HR 18-19'!G46</f>
        <v>2700.5645407097572</v>
      </c>
      <c r="J37" s="333">
        <f>'[1]HR 19-20'!G46</f>
        <v>2601.6151955722717</v>
      </c>
    </row>
    <row r="38" spans="1:10" ht="12.75">
      <c r="A38" s="225">
        <v>8</v>
      </c>
      <c r="B38" s="334" t="s">
        <v>1448</v>
      </c>
      <c r="C38" s="225"/>
      <c r="D38" s="225" t="s">
        <v>1447</v>
      </c>
      <c r="E38" s="225" t="s">
        <v>1446</v>
      </c>
      <c r="F38" s="225"/>
      <c r="G38" s="335"/>
      <c r="H38" s="218"/>
      <c r="I38" s="218"/>
      <c r="J38" s="218"/>
    </row>
    <row r="39" spans="1:10" ht="12.75">
      <c r="A39" s="225">
        <v>9</v>
      </c>
      <c r="B39" s="334" t="s">
        <v>1445</v>
      </c>
      <c r="C39" s="225"/>
      <c r="D39" s="225" t="s">
        <v>1444</v>
      </c>
      <c r="E39" s="225" t="s">
        <v>1443</v>
      </c>
      <c r="F39" s="225"/>
      <c r="G39" s="335"/>
      <c r="H39" s="218"/>
      <c r="I39" s="218"/>
      <c r="J39" s="218"/>
    </row>
    <row r="40" spans="1:10" ht="12.75">
      <c r="A40" s="225">
        <v>10</v>
      </c>
      <c r="B40" s="334" t="s">
        <v>1442</v>
      </c>
      <c r="C40" s="225"/>
      <c r="D40" s="225" t="s">
        <v>1441</v>
      </c>
      <c r="E40" s="225" t="s">
        <v>1440</v>
      </c>
      <c r="F40" s="225"/>
      <c r="G40" s="333">
        <v>10048.01</v>
      </c>
      <c r="H40" s="333">
        <v>10065.2</v>
      </c>
      <c r="I40" s="333">
        <f>'[6]HR 18-19'!D50</f>
        <v>10065.199634079303</v>
      </c>
      <c r="J40" s="333">
        <f>'[1]HR 19-20'!M44</f>
        <v>10574.003568820059</v>
      </c>
    </row>
    <row r="41" spans="1:10" ht="12.75">
      <c r="A41" s="225">
        <v>11</v>
      </c>
      <c r="B41" s="334" t="s">
        <v>1439</v>
      </c>
      <c r="C41" s="225"/>
      <c r="D41" s="225" t="s">
        <v>1432</v>
      </c>
      <c r="E41" s="225" t="s">
        <v>1438</v>
      </c>
      <c r="F41" s="225" t="s">
        <v>1437</v>
      </c>
      <c r="G41" s="333">
        <f>G33*G37</f>
        <v>679280.0228</v>
      </c>
      <c r="H41" s="333">
        <f>H33*H37</f>
        <v>619967.5592</v>
      </c>
      <c r="I41" s="333">
        <f>I33*I37</f>
        <v>619962.633363104</v>
      </c>
      <c r="J41" s="333">
        <f>J33*J37</f>
        <v>662631.7025060811</v>
      </c>
    </row>
    <row r="42" spans="1:10" ht="12.75">
      <c r="A42" s="225">
        <v>12</v>
      </c>
      <c r="B42" s="334" t="s">
        <v>1436</v>
      </c>
      <c r="C42" s="225"/>
      <c r="D42" s="225" t="s">
        <v>1432</v>
      </c>
      <c r="E42" s="225" t="s">
        <v>1435</v>
      </c>
      <c r="F42" s="225" t="s">
        <v>1434</v>
      </c>
      <c r="G42" s="218"/>
      <c r="H42" s="218"/>
      <c r="I42" s="218"/>
      <c r="J42" s="218"/>
    </row>
    <row r="43" spans="1:10" ht="12.75">
      <c r="A43" s="225">
        <v>13</v>
      </c>
      <c r="B43" s="334" t="s">
        <v>1433</v>
      </c>
      <c r="C43" s="225"/>
      <c r="D43" s="225" t="s">
        <v>1432</v>
      </c>
      <c r="E43" s="225" t="s">
        <v>1431</v>
      </c>
      <c r="F43" s="225" t="s">
        <v>1430</v>
      </c>
      <c r="G43" s="218"/>
      <c r="H43" s="218"/>
      <c r="I43" s="218"/>
      <c r="J43" s="218"/>
    </row>
    <row r="44" spans="1:10" ht="12.75">
      <c r="A44" s="225">
        <v>14</v>
      </c>
      <c r="B44" s="334" t="s">
        <v>1429</v>
      </c>
      <c r="C44" s="225"/>
      <c r="D44" s="225" t="s">
        <v>1428</v>
      </c>
      <c r="E44" s="225" t="s">
        <v>1427</v>
      </c>
      <c r="F44" s="225"/>
      <c r="G44" s="218"/>
      <c r="H44" s="218"/>
      <c r="I44" s="218"/>
      <c r="J44" s="218"/>
    </row>
    <row r="45" spans="1:10" ht="12.75">
      <c r="A45" s="225">
        <v>15</v>
      </c>
      <c r="B45" s="334" t="s">
        <v>1426</v>
      </c>
      <c r="C45" s="225"/>
      <c r="D45" s="225" t="s">
        <v>1425</v>
      </c>
      <c r="E45" s="225" t="s">
        <v>1424</v>
      </c>
      <c r="F45" s="225" t="s">
        <v>1423</v>
      </c>
      <c r="G45" s="333">
        <f>(G41*1000)/G40</f>
        <v>67603.43817332985</v>
      </c>
      <c r="H45" s="333">
        <f>(H41*1000)/H40</f>
        <v>61595.15550610023</v>
      </c>
      <c r="I45" s="333">
        <f>'[1]gas cost (2)'!B664</f>
        <v>61794.80999999999</v>
      </c>
      <c r="J45" s="333">
        <f>(J41*1000)/J40</f>
        <v>62666.113000000005</v>
      </c>
    </row>
    <row r="46" spans="1:10" ht="12.75">
      <c r="A46" s="225">
        <v>16</v>
      </c>
      <c r="B46" s="334" t="s">
        <v>1422</v>
      </c>
      <c r="C46" s="225"/>
      <c r="D46" s="225" t="s">
        <v>1421</v>
      </c>
      <c r="E46" s="225" t="s">
        <v>1420</v>
      </c>
      <c r="F46" s="225"/>
      <c r="G46" s="218"/>
      <c r="H46" s="218"/>
      <c r="I46" s="218"/>
      <c r="J46" s="218"/>
    </row>
    <row r="47" spans="1:10" ht="12.75">
      <c r="A47" s="225">
        <v>17</v>
      </c>
      <c r="B47" s="225" t="s">
        <v>1419</v>
      </c>
      <c r="C47" s="225"/>
      <c r="D47" s="225" t="s">
        <v>1418</v>
      </c>
      <c r="E47" s="225" t="s">
        <v>1417</v>
      </c>
      <c r="F47" s="225"/>
      <c r="G47" s="333">
        <v>8.02</v>
      </c>
      <c r="H47" s="333">
        <v>10.07</v>
      </c>
      <c r="I47" s="333">
        <f>'[1]gas cost (2)'!C665</f>
        <v>10.065199634079303</v>
      </c>
      <c r="J47" s="333">
        <f>'[1]HR 19-20'!N46</f>
        <v>11.538843664996422</v>
      </c>
    </row>
    <row r="48" spans="1:10" ht="12.75">
      <c r="A48" s="225">
        <v>18</v>
      </c>
      <c r="B48" s="225" t="s">
        <v>1416</v>
      </c>
      <c r="C48" s="225"/>
      <c r="D48" s="225" t="s">
        <v>1415</v>
      </c>
      <c r="E48" s="225" t="s">
        <v>1414</v>
      </c>
      <c r="F48" s="225" t="s">
        <v>1413</v>
      </c>
      <c r="G48" s="333">
        <f>(G47*G45)/100</f>
        <v>5421.795741501053</v>
      </c>
      <c r="H48" s="333">
        <f>(H47*H45)/100</f>
        <v>6202.632159464293</v>
      </c>
      <c r="I48" s="333">
        <f>(I47*I45)/100</f>
        <v>6219.770989999999</v>
      </c>
      <c r="J48" s="333">
        <f>(J47*J45)/100</f>
        <v>7230.94481</v>
      </c>
    </row>
    <row r="49" spans="1:10" ht="12.75">
      <c r="A49" s="225">
        <v>19</v>
      </c>
      <c r="B49" s="225" t="s">
        <v>1412</v>
      </c>
      <c r="C49" s="225"/>
      <c r="D49" s="225" t="s">
        <v>1411</v>
      </c>
      <c r="E49" s="225" t="s">
        <v>1410</v>
      </c>
      <c r="F49" s="225" t="s">
        <v>1409</v>
      </c>
      <c r="G49" s="333">
        <f>G48/(G36*10)</f>
        <v>2.5217654611632807</v>
      </c>
      <c r="H49" s="333">
        <f>H48/(H36*10)</f>
        <v>2.895990362995748</v>
      </c>
      <c r="I49" s="333">
        <f>I48/(I36*10)</f>
        <v>2.9039498526280827</v>
      </c>
      <c r="J49" s="333">
        <f>J48/(J36*10)</f>
        <v>3.010473771736311</v>
      </c>
    </row>
  </sheetData>
  <sheetProtection/>
  <mergeCells count="23">
    <mergeCell ref="B15:E15"/>
    <mergeCell ref="F15:I15"/>
    <mergeCell ref="B16:E16"/>
    <mergeCell ref="F16:I16"/>
    <mergeCell ref="B17:E17"/>
    <mergeCell ref="F17:I17"/>
    <mergeCell ref="G26:I26"/>
    <mergeCell ref="B27:C27"/>
    <mergeCell ref="B28:C28"/>
    <mergeCell ref="B18:E18"/>
    <mergeCell ref="F18:I18"/>
    <mergeCell ref="B19:E19"/>
    <mergeCell ref="F19:I19"/>
    <mergeCell ref="B22:D22"/>
    <mergeCell ref="E22:F22"/>
    <mergeCell ref="H22:I22"/>
    <mergeCell ref="B29:C29"/>
    <mergeCell ref="B30:C30"/>
    <mergeCell ref="B32:C32"/>
    <mergeCell ref="E34:E35"/>
    <mergeCell ref="B24:D24"/>
    <mergeCell ref="E24:F24"/>
    <mergeCell ref="B26:C26"/>
  </mergeCells>
  <printOptions/>
  <pageMargins left="0.94" right="0.16" top="0.53" bottom="0.59" header="0.5" footer="0.5"/>
  <pageSetup horizontalDpi="600" verticalDpi="600" orientation="portrait" scale="85" r:id="rId1"/>
</worksheet>
</file>

<file path=xl/worksheets/sheet45.xml><?xml version="1.0" encoding="utf-8"?>
<worksheet xmlns="http://schemas.openxmlformats.org/spreadsheetml/2006/main" xmlns:r="http://schemas.openxmlformats.org/officeDocument/2006/relationships">
  <dimension ref="B3:G48"/>
  <sheetViews>
    <sheetView view="pageBreakPreview" zoomScaleSheetLayoutView="100" zoomScalePageLayoutView="0" workbookViewId="0" topLeftCell="A10">
      <selection activeCell="A3" sqref="A3:G47"/>
    </sheetView>
  </sheetViews>
  <sheetFormatPr defaultColWidth="9.33203125" defaultRowHeight="12.75"/>
  <cols>
    <col min="1" max="1" width="9.33203125" style="90" customWidth="1"/>
    <col min="2" max="2" width="6.83203125" style="90" customWidth="1"/>
    <col min="3" max="3" width="52.66015625" style="90" customWidth="1"/>
    <col min="4" max="5" width="9.33203125" style="90" customWidth="1"/>
    <col min="6" max="6" width="13.83203125" style="90" customWidth="1"/>
    <col min="7" max="16384" width="9.33203125" style="90" customWidth="1"/>
  </cols>
  <sheetData>
    <row r="3" spans="6:7" ht="12.75">
      <c r="F3" s="1368" t="s">
        <v>1408</v>
      </c>
      <c r="G3" s="1368"/>
    </row>
    <row r="4" spans="3:6" s="198" customFormat="1" ht="12.75">
      <c r="C4" s="332"/>
      <c r="F4" s="198" t="s">
        <v>1407</v>
      </c>
    </row>
    <row r="5" s="198" customFormat="1" ht="12.75">
      <c r="C5" s="198" t="s">
        <v>1406</v>
      </c>
    </row>
    <row r="6" s="198" customFormat="1" ht="12.75"/>
    <row r="7" s="198" customFormat="1" ht="12.75"/>
    <row r="8" spans="3:4" s="198" customFormat="1" ht="12.75">
      <c r="C8" s="198" t="s">
        <v>1405</v>
      </c>
      <c r="D8" s="198" t="s">
        <v>1404</v>
      </c>
    </row>
    <row r="9" spans="3:4" s="198" customFormat="1" ht="12.75">
      <c r="C9" s="198" t="s">
        <v>1403</v>
      </c>
      <c r="D9" s="198" t="s">
        <v>1402</v>
      </c>
    </row>
    <row r="10" s="198" customFormat="1" ht="12.75"/>
    <row r="11" s="198" customFormat="1" ht="12.75"/>
    <row r="12" s="198" customFormat="1" ht="12.75">
      <c r="D12" s="198" t="s">
        <v>1401</v>
      </c>
    </row>
    <row r="13" s="198" customFormat="1" ht="12.75"/>
    <row r="14" spans="2:6" s="198" customFormat="1" ht="64.5" customHeight="1">
      <c r="B14" s="330" t="s">
        <v>1400</v>
      </c>
      <c r="C14" s="330" t="s">
        <v>1355</v>
      </c>
      <c r="D14" s="253" t="s">
        <v>1399</v>
      </c>
      <c r="E14" s="253" t="s">
        <v>1398</v>
      </c>
      <c r="F14" s="250" t="s">
        <v>1397</v>
      </c>
    </row>
    <row r="15" spans="2:6" s="198" customFormat="1" ht="12.75">
      <c r="B15" s="330"/>
      <c r="C15" s="330"/>
      <c r="D15" s="250" t="s">
        <v>1358</v>
      </c>
      <c r="E15" s="250" t="s">
        <v>1357</v>
      </c>
      <c r="F15" s="250" t="s">
        <v>1356</v>
      </c>
    </row>
    <row r="16" spans="2:6" s="198" customFormat="1" ht="12.75">
      <c r="B16" s="330"/>
      <c r="C16" s="330"/>
      <c r="D16" s="330"/>
      <c r="E16" s="330"/>
      <c r="F16" s="250" t="s">
        <v>1396</v>
      </c>
    </row>
    <row r="17" spans="2:6" ht="12.75">
      <c r="B17" s="225"/>
      <c r="C17" s="225"/>
      <c r="D17" s="225"/>
      <c r="E17" s="225"/>
      <c r="F17" s="225"/>
    </row>
    <row r="18" spans="2:6" ht="12.75">
      <c r="B18" s="225">
        <v>1</v>
      </c>
      <c r="C18" s="225">
        <v>2</v>
      </c>
      <c r="D18" s="225">
        <v>3</v>
      </c>
      <c r="E18" s="225">
        <v>4</v>
      </c>
      <c r="F18" s="225">
        <v>5</v>
      </c>
    </row>
    <row r="19" spans="2:6" ht="12.75">
      <c r="B19" s="225">
        <v>1</v>
      </c>
      <c r="C19" s="330" t="s">
        <v>1395</v>
      </c>
      <c r="D19" s="225"/>
      <c r="E19" s="225"/>
      <c r="F19" s="225"/>
    </row>
    <row r="20" spans="2:6" ht="12.75">
      <c r="B20" s="225">
        <v>1.1</v>
      </c>
      <c r="C20" s="250" t="s">
        <v>1394</v>
      </c>
      <c r="D20" s="217">
        <f>'[1]Tariff calc 15-16 (2)'!G36</f>
        <v>0</v>
      </c>
      <c r="E20" s="217">
        <f>'[1]Tariff calc 15-16 (2)'!H36</f>
        <v>0</v>
      </c>
      <c r="F20" s="217">
        <f>'[1]Tariff calc 18-19 '!M36</f>
        <v>0</v>
      </c>
    </row>
    <row r="21" spans="2:6" ht="12.75">
      <c r="B21" s="225">
        <v>1.2</v>
      </c>
      <c r="C21" s="250" t="s">
        <v>1393</v>
      </c>
      <c r="D21" s="217">
        <v>2.35</v>
      </c>
      <c r="E21" s="217">
        <v>3.09</v>
      </c>
      <c r="F21" s="217">
        <f>'Tariff calc 24-25'!P35</f>
        <v>2.24</v>
      </c>
    </row>
    <row r="22" spans="2:6" ht="12.75">
      <c r="B22" s="225">
        <v>1.3</v>
      </c>
      <c r="C22" s="250" t="s">
        <v>1392</v>
      </c>
      <c r="D22" s="214">
        <v>0</v>
      </c>
      <c r="E22" s="214">
        <v>0</v>
      </c>
      <c r="F22" s="214">
        <v>0</v>
      </c>
    </row>
    <row r="23" spans="2:6" ht="12.75">
      <c r="B23" s="225">
        <v>1.4</v>
      </c>
      <c r="C23" s="250" t="s">
        <v>1321</v>
      </c>
      <c r="D23" s="217">
        <v>10.88</v>
      </c>
      <c r="E23" s="217">
        <v>11.11</v>
      </c>
      <c r="F23" s="217">
        <f>'Tariff calc 24-25'!P37</f>
        <v>10.78792176</v>
      </c>
    </row>
    <row r="24" spans="2:6" ht="12.75">
      <c r="B24" s="225">
        <v>1.5</v>
      </c>
      <c r="C24" s="250" t="s">
        <v>1391</v>
      </c>
      <c r="D24" s="217">
        <v>15.1</v>
      </c>
      <c r="E24" s="217">
        <v>16.13</v>
      </c>
      <c r="F24" s="217">
        <f>'Tariff calc 24-25'!P39</f>
        <v>17.22</v>
      </c>
    </row>
    <row r="25" spans="2:6" ht="12.75">
      <c r="B25" s="225">
        <v>1.6</v>
      </c>
      <c r="C25" s="250" t="s">
        <v>1390</v>
      </c>
      <c r="D25" s="214">
        <v>0</v>
      </c>
      <c r="E25" s="214">
        <v>0</v>
      </c>
      <c r="F25" s="214">
        <v>0</v>
      </c>
    </row>
    <row r="26" spans="2:6" ht="25.5">
      <c r="B26" s="225">
        <v>1.7</v>
      </c>
      <c r="C26" s="250" t="s">
        <v>1389</v>
      </c>
      <c r="D26" s="217">
        <v>3.4</v>
      </c>
      <c r="E26" s="217">
        <v>2.85</v>
      </c>
      <c r="F26" s="217">
        <f>'Tariff calc 24-25'!P38</f>
        <v>2.738917683839201</v>
      </c>
    </row>
    <row r="27" spans="2:6" ht="12.75">
      <c r="B27" s="225">
        <v>1.8</v>
      </c>
      <c r="C27" s="225" t="s">
        <v>1388</v>
      </c>
      <c r="D27" s="214"/>
      <c r="E27" s="214"/>
      <c r="F27" s="214"/>
    </row>
    <row r="28" spans="2:6" ht="12.75">
      <c r="B28" s="225">
        <v>1.9</v>
      </c>
      <c r="C28" s="225"/>
      <c r="D28" s="214"/>
      <c r="E28" s="214"/>
      <c r="F28" s="214"/>
    </row>
    <row r="29" spans="2:7" ht="12.75">
      <c r="B29" s="225"/>
      <c r="C29" s="330" t="s">
        <v>1387</v>
      </c>
      <c r="D29" s="217">
        <f>+D20+D21+D22+D23+D24+D25+D26</f>
        <v>31.729999999999997</v>
      </c>
      <c r="E29" s="217">
        <f>+E20+E21+E22+E23+E24+E25+E26-0.01</f>
        <v>33.17</v>
      </c>
      <c r="F29" s="331">
        <f>+F20+F21+F22+F23+F24+F25+F26</f>
        <v>32.9868394438392</v>
      </c>
      <c r="G29" s="201"/>
    </row>
    <row r="30" spans="2:6" ht="12.75">
      <c r="B30" s="225">
        <v>2</v>
      </c>
      <c r="C30" s="330" t="s">
        <v>1386</v>
      </c>
      <c r="D30" s="231"/>
      <c r="E30" s="214"/>
      <c r="F30" s="214"/>
    </row>
    <row r="31" spans="2:6" ht="12.75">
      <c r="B31" s="225"/>
      <c r="C31" s="225"/>
      <c r="D31" s="214"/>
      <c r="E31" s="214"/>
      <c r="F31" s="214"/>
    </row>
    <row r="32" spans="2:6" ht="25.5">
      <c r="B32" s="225">
        <v>2.1</v>
      </c>
      <c r="C32" s="250" t="s">
        <v>1385</v>
      </c>
      <c r="D32" s="217">
        <f>'Tariff calc 24-25'!N32</f>
        <v>265.12</v>
      </c>
      <c r="E32" s="217">
        <f>'Tariff calc 24-25'!O32</f>
        <v>313.46</v>
      </c>
      <c r="F32" s="217">
        <f>'Tariff calc 24-25'!P32</f>
        <v>197.75</v>
      </c>
    </row>
    <row r="33" spans="2:6" ht="12.75">
      <c r="B33" s="225">
        <v>2.2</v>
      </c>
      <c r="C33" s="225" t="s">
        <v>1384</v>
      </c>
      <c r="D33" s="214"/>
      <c r="E33" s="214"/>
      <c r="F33" s="214"/>
    </row>
    <row r="34" spans="2:6" ht="12.75">
      <c r="B34" s="225">
        <v>2.3</v>
      </c>
      <c r="C34" s="225" t="s">
        <v>1383</v>
      </c>
      <c r="D34" s="214"/>
      <c r="E34" s="214"/>
      <c r="F34" s="214"/>
    </row>
    <row r="35" spans="2:6" ht="12.75">
      <c r="B35" s="225">
        <v>3</v>
      </c>
      <c r="C35" s="225" t="s">
        <v>1382</v>
      </c>
      <c r="D35" s="214"/>
      <c r="E35" s="214"/>
      <c r="F35" s="214"/>
    </row>
    <row r="36" spans="2:6" ht="12.75">
      <c r="B36" s="225"/>
      <c r="C36" s="225" t="s">
        <v>1381</v>
      </c>
      <c r="D36" s="217">
        <f>'[1]12G (2)'!D31/10</f>
        <v>88.5107504</v>
      </c>
      <c r="E36" s="217">
        <f>'[1]12G (2)'!E31/10</f>
        <v>105.23813423250002</v>
      </c>
      <c r="F36" s="217">
        <f>'[1]12G (2)'!F31/10</f>
        <v>92.178</v>
      </c>
    </row>
    <row r="37" spans="3:6" ht="12.75">
      <c r="C37" s="225"/>
      <c r="D37" s="214"/>
      <c r="E37" s="214"/>
      <c r="F37" s="214"/>
    </row>
    <row r="38" ht="12.75">
      <c r="C38" s="90" t="s">
        <v>1371</v>
      </c>
    </row>
    <row r="40" spans="2:7" ht="42.75" customHeight="1">
      <c r="B40" s="248">
        <v>1</v>
      </c>
      <c r="C40" s="1136" t="s">
        <v>1380</v>
      </c>
      <c r="D40" s="1136"/>
      <c r="E40" s="1136"/>
      <c r="F40" s="1136"/>
      <c r="G40" s="1136"/>
    </row>
    <row r="41" spans="2:7" ht="29.25" customHeight="1">
      <c r="B41" s="248">
        <v>2</v>
      </c>
      <c r="C41" s="1136" t="s">
        <v>1379</v>
      </c>
      <c r="D41" s="1136"/>
      <c r="E41" s="1136"/>
      <c r="F41" s="1136"/>
      <c r="G41" s="1136"/>
    </row>
    <row r="42" spans="2:7" ht="15.75" customHeight="1">
      <c r="B42" s="248">
        <v>3</v>
      </c>
      <c r="C42" s="1136" t="s">
        <v>1378</v>
      </c>
      <c r="D42" s="1136"/>
      <c r="E42" s="1136"/>
      <c r="F42" s="1136"/>
      <c r="G42" s="1136"/>
    </row>
    <row r="43" spans="2:7" ht="30.75" customHeight="1">
      <c r="B43" s="248" t="s">
        <v>1377</v>
      </c>
      <c r="C43" s="1136" t="s">
        <v>1376</v>
      </c>
      <c r="D43" s="1136"/>
      <c r="E43" s="1136"/>
      <c r="F43" s="1136"/>
      <c r="G43" s="1136"/>
    </row>
    <row r="44" spans="2:7" ht="43.5" customHeight="1">
      <c r="B44" s="248" t="s">
        <v>1375</v>
      </c>
      <c r="C44" s="1136" t="s">
        <v>1374</v>
      </c>
      <c r="D44" s="1136"/>
      <c r="E44" s="1136"/>
      <c r="F44" s="1136"/>
      <c r="G44" s="1136"/>
    </row>
    <row r="45" spans="2:7" ht="30.75" customHeight="1">
      <c r="B45" s="248" t="s">
        <v>1373</v>
      </c>
      <c r="C45" s="1136" t="s">
        <v>1372</v>
      </c>
      <c r="D45" s="1136"/>
      <c r="E45" s="1136"/>
      <c r="F45" s="1136"/>
      <c r="G45" s="1136"/>
    </row>
    <row r="47" spans="2:6" ht="27.75" customHeight="1">
      <c r="B47" s="329" t="s">
        <v>1371</v>
      </c>
      <c r="C47" s="1192" t="s">
        <v>1370</v>
      </c>
      <c r="D47" s="1192"/>
      <c r="E47" s="1192"/>
      <c r="F47" s="1192"/>
    </row>
    <row r="48" spans="3:6" ht="42" customHeight="1">
      <c r="C48" s="1193"/>
      <c r="D48" s="1193"/>
      <c r="E48" s="1193"/>
      <c r="F48" s="1193"/>
    </row>
  </sheetData>
  <sheetProtection/>
  <mergeCells count="9">
    <mergeCell ref="C45:G45"/>
    <mergeCell ref="C47:F47"/>
    <mergeCell ref="C48:F48"/>
    <mergeCell ref="F3:G3"/>
    <mergeCell ref="C40:G40"/>
    <mergeCell ref="C41:G41"/>
    <mergeCell ref="C42:G42"/>
    <mergeCell ref="C43:G43"/>
    <mergeCell ref="C44:G44"/>
  </mergeCells>
  <printOptions/>
  <pageMargins left="1" right="0.75" top="0.81" bottom="1" header="0.5" footer="0.5"/>
  <pageSetup horizontalDpi="600" verticalDpi="600" orientation="portrait" scale="84" r:id="rId1"/>
</worksheet>
</file>

<file path=xl/worksheets/sheet46.xml><?xml version="1.0" encoding="utf-8"?>
<worksheet xmlns="http://schemas.openxmlformats.org/spreadsheetml/2006/main" xmlns:r="http://schemas.openxmlformats.org/officeDocument/2006/relationships">
  <dimension ref="A1:N28"/>
  <sheetViews>
    <sheetView zoomScalePageLayoutView="0" workbookViewId="0" topLeftCell="A12">
      <selection activeCell="C6" sqref="C6"/>
    </sheetView>
  </sheetViews>
  <sheetFormatPr defaultColWidth="9.33203125" defaultRowHeight="12.75"/>
  <cols>
    <col min="1" max="1" width="5" style="90" customWidth="1"/>
    <col min="2" max="2" width="10.66015625" style="90" customWidth="1"/>
    <col min="3" max="3" width="9.5" style="90" customWidth="1"/>
    <col min="4" max="4" width="14.83203125" style="90" customWidth="1"/>
    <col min="5" max="5" width="16.66015625" style="90" customWidth="1"/>
    <col min="6" max="6" width="17.33203125" style="90" customWidth="1"/>
    <col min="7" max="7" width="14" style="90" customWidth="1"/>
    <col min="8" max="8" width="12.5" style="90" customWidth="1"/>
    <col min="9" max="9" width="10" style="90" customWidth="1"/>
    <col min="10" max="10" width="14.16015625" style="90" customWidth="1"/>
    <col min="11" max="11" width="14.5" style="90" customWidth="1"/>
    <col min="12" max="12" width="17.66015625" style="90" customWidth="1"/>
    <col min="13" max="13" width="17.83203125" style="90" customWidth="1"/>
    <col min="14" max="14" width="16.16015625" style="90" customWidth="1"/>
    <col min="15" max="16384" width="9.33203125" style="90" customWidth="1"/>
  </cols>
  <sheetData>
    <row r="1" spans="1:14" ht="12.75" customHeight="1">
      <c r="A1" s="1369" t="s">
        <v>1258</v>
      </c>
      <c r="B1" s="1369"/>
      <c r="C1" s="1369"/>
      <c r="D1" s="1369"/>
      <c r="E1" s="1369"/>
      <c r="F1" s="1369"/>
      <c r="G1" s="1369"/>
      <c r="H1" s="1369"/>
      <c r="I1" s="1369"/>
      <c r="J1" s="1369"/>
      <c r="K1" s="1369"/>
      <c r="L1" s="1369"/>
      <c r="M1" s="1369"/>
      <c r="N1" s="1369"/>
    </row>
    <row r="2" spans="1:14" ht="12.75" customHeight="1">
      <c r="A2" s="1369"/>
      <c r="B2" s="1369"/>
      <c r="C2" s="1369"/>
      <c r="D2" s="1369"/>
      <c r="E2" s="1369"/>
      <c r="F2" s="1369"/>
      <c r="G2" s="1369"/>
      <c r="H2" s="1369"/>
      <c r="I2" s="1369"/>
      <c r="J2" s="1369"/>
      <c r="K2" s="1369"/>
      <c r="L2" s="1369"/>
      <c r="M2" s="1369"/>
      <c r="N2" s="1369"/>
    </row>
    <row r="3" spans="1:14" ht="12.75">
      <c r="A3" s="1369"/>
      <c r="B3" s="1369"/>
      <c r="C3" s="1369"/>
      <c r="D3" s="1369"/>
      <c r="E3" s="1369"/>
      <c r="F3" s="1369"/>
      <c r="G3" s="1369"/>
      <c r="H3" s="1369"/>
      <c r="I3" s="1369"/>
      <c r="J3" s="1369"/>
      <c r="K3" s="1369"/>
      <c r="L3" s="1369"/>
      <c r="M3" s="1369"/>
      <c r="N3" s="1369"/>
    </row>
    <row r="4" spans="1:14" ht="63.75">
      <c r="A4" s="230" t="s">
        <v>1257</v>
      </c>
      <c r="B4" s="231" t="s">
        <v>1256</v>
      </c>
      <c r="C4" s="230" t="s">
        <v>1255</v>
      </c>
      <c r="D4" s="230" t="s">
        <v>1254</v>
      </c>
      <c r="E4" s="230" t="s">
        <v>1253</v>
      </c>
      <c r="F4" s="232" t="s">
        <v>1252</v>
      </c>
      <c r="G4" s="232" t="s">
        <v>1251</v>
      </c>
      <c r="H4" s="232" t="s">
        <v>1250</v>
      </c>
      <c r="I4" s="230" t="s">
        <v>1249</v>
      </c>
      <c r="J4" s="231" t="s">
        <v>1248</v>
      </c>
      <c r="K4" s="230" t="s">
        <v>1247</v>
      </c>
      <c r="L4" s="229" t="s">
        <v>1246</v>
      </c>
      <c r="M4" s="228" t="s">
        <v>1245</v>
      </c>
      <c r="N4" s="228" t="s">
        <v>1244</v>
      </c>
    </row>
    <row r="5" spans="3:14" ht="12.75" hidden="1">
      <c r="C5" s="227"/>
      <c r="M5" s="225"/>
      <c r="N5" s="225"/>
    </row>
    <row r="6" spans="1:14" ht="33.75" customHeight="1">
      <c r="A6" s="214">
        <v>1</v>
      </c>
      <c r="B6" s="226" t="s">
        <v>1201</v>
      </c>
      <c r="C6" s="217">
        <f>'[1]HR 20-21'!AA6</f>
        <v>83.68200854700855</v>
      </c>
      <c r="D6" s="214">
        <v>19890000</v>
      </c>
      <c r="E6" s="214">
        <f>'[1]HR 20-21'!O6</f>
        <v>19581590</v>
      </c>
      <c r="F6" s="214">
        <v>994500</v>
      </c>
      <c r="G6" s="214">
        <f>'[1]HR 20-21'!P6</f>
        <v>1128590</v>
      </c>
      <c r="H6" s="217">
        <f>'[1]HR 20-21'!R6</f>
        <v>5.763525842385628</v>
      </c>
      <c r="I6" s="217">
        <f>'[1]HR 20-21'!S6</f>
        <v>2638.09</v>
      </c>
      <c r="J6" s="214">
        <f>'[1]HR 20-21'!V6</f>
        <v>42187660</v>
      </c>
      <c r="K6" s="214">
        <f>'[1]HR 20-21'!Y6</f>
        <v>41888310</v>
      </c>
      <c r="L6" s="215">
        <f aca="true" t="shared" si="0" ref="L6:L20">K6-J6</f>
        <v>-299350</v>
      </c>
      <c r="M6" s="214">
        <f>'[1]HR 20-21'!AC6</f>
        <v>69225903</v>
      </c>
      <c r="N6" s="214">
        <f>'[1]HR 20-21'!AD6</f>
        <v>27360747</v>
      </c>
    </row>
    <row r="7" spans="1:14" ht="24.75" customHeight="1">
      <c r="A7" s="214">
        <v>2</v>
      </c>
      <c r="B7" s="226" t="s">
        <v>1200</v>
      </c>
      <c r="C7" s="217">
        <f>'[1]HR 20-21'!AA9</f>
        <v>86.9322994210091</v>
      </c>
      <c r="D7" s="214">
        <v>20553000</v>
      </c>
      <c r="E7" s="214">
        <f>'[1]HR 20-21'!O9</f>
        <v>21020230</v>
      </c>
      <c r="F7" s="214">
        <v>1027650</v>
      </c>
      <c r="G7" s="214">
        <f>'[1]HR 20-21'!P9</f>
        <v>1111430</v>
      </c>
      <c r="H7" s="217">
        <f>'[1]HR 20-21'!R9</f>
        <v>5.287430251714658</v>
      </c>
      <c r="I7" s="217">
        <f>'[1]HR 20-21'!S9</f>
        <v>2643.33</v>
      </c>
      <c r="J7" s="214">
        <f>'[1]HR 20-21'!V9</f>
        <v>46391385</v>
      </c>
      <c r="K7" s="214">
        <f>'[1]HR 20-21'!Y9</f>
        <v>46387504</v>
      </c>
      <c r="L7" s="215">
        <f t="shared" si="0"/>
        <v>-3881</v>
      </c>
      <c r="M7" s="214">
        <f>'[1]HR 20-21'!AC9</f>
        <v>82061412</v>
      </c>
      <c r="N7" s="213">
        <f>'[1]HR 20-21'!AD9</f>
        <v>27772996</v>
      </c>
    </row>
    <row r="8" spans="1:14" ht="27" customHeight="1">
      <c r="A8" s="214">
        <v>3</v>
      </c>
      <c r="B8" s="218" t="s">
        <v>1199</v>
      </c>
      <c r="C8" s="217">
        <f>'[1]HR 20-21'!AA12</f>
        <v>87.61824786324786</v>
      </c>
      <c r="D8" s="214">
        <f>'[1]HR 20-21'!O12</f>
        <v>20502670</v>
      </c>
      <c r="E8" s="214">
        <f>'[1]HR 20-21'!O12</f>
        <v>20502670</v>
      </c>
      <c r="F8" s="214">
        <v>994500</v>
      </c>
      <c r="G8" s="214">
        <f>'[1]HR 20-21'!P12</f>
        <v>1148870</v>
      </c>
      <c r="H8" s="217">
        <f>'[1]HR 20-21'!R12</f>
        <v>5.603514078898017</v>
      </c>
      <c r="I8" s="217">
        <f>'[1]HR 20-21'!S12</f>
        <v>2746.27</v>
      </c>
      <c r="J8" s="214">
        <f>'[1]HR 20-21'!V12</f>
        <v>46696869</v>
      </c>
      <c r="K8" s="214">
        <f>'[1]HR 20-21'!Y12</f>
        <v>44707278</v>
      </c>
      <c r="L8" s="215">
        <f t="shared" si="0"/>
        <v>-1989591</v>
      </c>
      <c r="M8" s="214">
        <f>'[1]HR 20-21'!AC12</f>
        <v>80598535</v>
      </c>
      <c r="N8" s="213">
        <f>'[1]HR 20-21'!AD12</f>
        <v>27791257</v>
      </c>
    </row>
    <row r="9" spans="1:14" ht="0.75" customHeight="1">
      <c r="A9" s="214">
        <v>4</v>
      </c>
      <c r="B9" s="218" t="s">
        <v>1198</v>
      </c>
      <c r="C9" s="214">
        <v>77.45</v>
      </c>
      <c r="D9" s="214">
        <v>20553000</v>
      </c>
      <c r="E9" s="216"/>
      <c r="F9" s="216">
        <v>1027650</v>
      </c>
      <c r="G9" s="216"/>
      <c r="H9" s="216"/>
      <c r="I9" s="207" t="e">
        <f>#REF!</f>
        <v>#REF!</v>
      </c>
      <c r="J9" s="216"/>
      <c r="K9" s="216"/>
      <c r="L9" s="215">
        <f t="shared" si="0"/>
        <v>0</v>
      </c>
      <c r="M9" s="225"/>
      <c r="N9" s="213"/>
    </row>
    <row r="10" spans="1:14" ht="29.25" customHeight="1" hidden="1" thickBot="1">
      <c r="A10" s="214">
        <v>5</v>
      </c>
      <c r="B10" s="218" t="s">
        <v>1243</v>
      </c>
      <c r="C10" s="214"/>
      <c r="D10" s="214"/>
      <c r="E10" s="216"/>
      <c r="F10" s="216">
        <v>1027650</v>
      </c>
      <c r="G10" s="216"/>
      <c r="H10" s="216"/>
      <c r="I10" s="216"/>
      <c r="J10" s="216"/>
      <c r="K10" s="216"/>
      <c r="L10" s="215">
        <f t="shared" si="0"/>
        <v>0</v>
      </c>
      <c r="M10" s="225"/>
      <c r="N10" s="213"/>
    </row>
    <row r="11" spans="1:14" ht="26.25" customHeight="1" hidden="1" thickBot="1">
      <c r="A11" s="223">
        <v>6</v>
      </c>
      <c r="B11" s="224" t="s">
        <v>1242</v>
      </c>
      <c r="C11" s="223"/>
      <c r="D11" s="223"/>
      <c r="E11" s="222"/>
      <c r="F11" s="222">
        <v>994500</v>
      </c>
      <c r="G11" s="222"/>
      <c r="H11" s="222"/>
      <c r="I11" s="222"/>
      <c r="J11" s="222"/>
      <c r="K11" s="222"/>
      <c r="L11" s="215">
        <f t="shared" si="0"/>
        <v>0</v>
      </c>
      <c r="M11" s="221"/>
      <c r="N11" s="220"/>
    </row>
    <row r="12" spans="1:14" ht="26.25" customHeight="1">
      <c r="A12" s="214">
        <v>4</v>
      </c>
      <c r="B12" s="218" t="s">
        <v>1198</v>
      </c>
      <c r="C12" s="217">
        <f>'[1]HR 20-21'!AA15</f>
        <v>79.6943341604632</v>
      </c>
      <c r="D12" s="214">
        <v>20553000</v>
      </c>
      <c r="E12" s="219">
        <f>'[1]HR 20-21'!O15</f>
        <v>19270090</v>
      </c>
      <c r="F12" s="216">
        <f>D12*0.05</f>
        <v>1027650</v>
      </c>
      <c r="G12" s="216">
        <f>'[1]HR 20-21'!P15</f>
        <v>1058090</v>
      </c>
      <c r="H12" s="207">
        <f>'[1]HR 20-21'!R15</f>
        <v>5.4908409872501895</v>
      </c>
      <c r="I12" s="207">
        <f>'[1]HR 20-21'!S15</f>
        <v>2845.82</v>
      </c>
      <c r="J12" s="216">
        <f>'[1]HR 20-21'!V15</f>
        <v>45516074</v>
      </c>
      <c r="K12" s="216">
        <v>42069720</v>
      </c>
      <c r="L12" s="215">
        <f t="shared" si="0"/>
        <v>-3446354</v>
      </c>
      <c r="M12" s="214">
        <f>'[1]HR 20-21'!AC15</f>
        <v>77475462</v>
      </c>
      <c r="N12" s="213">
        <f>'[1]HR 20-21'!AD15</f>
        <v>27381510</v>
      </c>
    </row>
    <row r="13" spans="1:14" ht="26.25" customHeight="1">
      <c r="A13" s="214">
        <v>5</v>
      </c>
      <c r="B13" s="218" t="s">
        <v>1241</v>
      </c>
      <c r="C13" s="217">
        <f>'[1]HR 20-21'!AA18</f>
        <v>75.90057899090156</v>
      </c>
      <c r="D13" s="214">
        <v>20553000</v>
      </c>
      <c r="E13" s="216">
        <f>'[1]HR 20-21'!O18</f>
        <v>18352760</v>
      </c>
      <c r="F13" s="216">
        <f>D13*0.05</f>
        <v>1027650</v>
      </c>
      <c r="G13" s="216">
        <f>'[1]HR 20-21'!P18</f>
        <v>1066360</v>
      </c>
      <c r="H13" s="207">
        <f>'[1]HR 20-21'!R18</f>
        <v>5.810352230400223</v>
      </c>
      <c r="I13" s="207">
        <f>'[1]HR 20-21'!S18</f>
        <v>3011.03</v>
      </c>
      <c r="J13" s="216">
        <f>'[1]HR 20-21'!V18</f>
        <v>45472242</v>
      </c>
      <c r="K13" s="216">
        <f>'[1]HR 20-21'!Y18</f>
        <v>40268734</v>
      </c>
      <c r="L13" s="215">
        <f t="shared" si="0"/>
        <v>-5203508</v>
      </c>
      <c r="M13" s="214">
        <f>'[1]HR 20-21'!AC18</f>
        <v>72306948</v>
      </c>
      <c r="N13" s="213">
        <f>'[1]HR 20-21'!AD18</f>
        <v>23771833</v>
      </c>
    </row>
    <row r="14" spans="1:14" ht="26.25" customHeight="1">
      <c r="A14" s="214">
        <v>6</v>
      </c>
      <c r="B14" s="218" t="s">
        <v>1240</v>
      </c>
      <c r="C14" s="217">
        <f>'[1]HR 20-21'!AA21</f>
        <v>80.42166666666667</v>
      </c>
      <c r="D14" s="214">
        <v>19890000</v>
      </c>
      <c r="E14" s="216">
        <f>'[1]HR 20-21'!O21</f>
        <v>18818670</v>
      </c>
      <c r="F14" s="216">
        <f>D14*0.05</f>
        <v>994500</v>
      </c>
      <c r="G14" s="216">
        <f>'[1]HR 20-21'!P21</f>
        <v>1005870</v>
      </c>
      <c r="H14" s="207">
        <f>'[1]HR 20-21'!R21</f>
        <v>5.345064236739366</v>
      </c>
      <c r="I14" s="207">
        <f>'[1]HR 20-21'!S21</f>
        <v>3039.71</v>
      </c>
      <c r="J14" s="216">
        <f>'[1]HR 20-21'!V21</f>
        <v>46909257</v>
      </c>
      <c r="K14" s="216">
        <f>'[1]HR 20-21'!Y21</f>
        <v>40613184</v>
      </c>
      <c r="L14" s="215">
        <f t="shared" si="0"/>
        <v>-6296073</v>
      </c>
      <c r="M14" s="214">
        <v>74875740</v>
      </c>
      <c r="N14" s="213">
        <v>25996175</v>
      </c>
    </row>
    <row r="15" spans="1:14" ht="26.25" customHeight="1">
      <c r="A15" s="214">
        <v>7</v>
      </c>
      <c r="B15" s="218" t="s">
        <v>1195</v>
      </c>
      <c r="C15" s="217">
        <v>89.68</v>
      </c>
      <c r="D15" s="214">
        <v>20553000</v>
      </c>
      <c r="E15" s="216">
        <v>21685530</v>
      </c>
      <c r="F15" s="216">
        <v>1027650</v>
      </c>
      <c r="G15" s="216">
        <v>1147530</v>
      </c>
      <c r="H15" s="207">
        <v>5.29</v>
      </c>
      <c r="I15" s="207">
        <v>2672.14</v>
      </c>
      <c r="J15" s="216">
        <v>36521964</v>
      </c>
      <c r="K15" s="216">
        <v>36146880</v>
      </c>
      <c r="L15" s="215">
        <f t="shared" si="0"/>
        <v>-375084</v>
      </c>
      <c r="M15" s="214">
        <v>73505301</v>
      </c>
      <c r="N15" s="213">
        <v>29092041</v>
      </c>
    </row>
    <row r="16" spans="1:14" ht="26.25" customHeight="1">
      <c r="A16" s="214">
        <v>8</v>
      </c>
      <c r="B16" s="218" t="s">
        <v>1194</v>
      </c>
      <c r="C16" s="217">
        <v>87</v>
      </c>
      <c r="D16" s="214">
        <v>19890000</v>
      </c>
      <c r="E16" s="216">
        <v>20358000</v>
      </c>
      <c r="F16" s="216">
        <v>994500</v>
      </c>
      <c r="G16" s="216">
        <v>1119690</v>
      </c>
      <c r="H16" s="207">
        <v>5.5</v>
      </c>
      <c r="I16" s="207">
        <v>2634.15</v>
      </c>
      <c r="J16" s="216">
        <v>34730748</v>
      </c>
      <c r="K16" s="216">
        <v>36146880</v>
      </c>
      <c r="L16" s="215">
        <f t="shared" si="0"/>
        <v>1416132</v>
      </c>
      <c r="M16" s="214">
        <f>K16+N16</f>
        <v>65512085</v>
      </c>
      <c r="N16" s="213">
        <v>29365205</v>
      </c>
    </row>
    <row r="17" spans="1:14" ht="26.25" customHeight="1">
      <c r="A17" s="214">
        <v>9</v>
      </c>
      <c r="B17" s="218" t="s">
        <v>1193</v>
      </c>
      <c r="C17" s="217">
        <v>87</v>
      </c>
      <c r="D17" s="214">
        <v>20553000</v>
      </c>
      <c r="E17" s="216">
        <v>21036600</v>
      </c>
      <c r="F17" s="216">
        <f>D17*0.05</f>
        <v>1027650</v>
      </c>
      <c r="G17" s="216">
        <v>1157013</v>
      </c>
      <c r="H17" s="207">
        <v>5.5</v>
      </c>
      <c r="I17" s="207">
        <v>2634.15</v>
      </c>
      <c r="J17" s="216">
        <v>35013111</v>
      </c>
      <c r="K17" s="216">
        <v>34268958</v>
      </c>
      <c r="L17" s="215">
        <f t="shared" si="0"/>
        <v>-744153</v>
      </c>
      <c r="M17" s="214">
        <f>K17+N17</f>
        <v>61585424</v>
      </c>
      <c r="N17" s="213">
        <v>27316466</v>
      </c>
    </row>
    <row r="18" spans="1:14" ht="26.25" customHeight="1">
      <c r="A18" s="214">
        <v>10</v>
      </c>
      <c r="B18" s="218" t="s">
        <v>1192</v>
      </c>
      <c r="C18" s="217">
        <v>44.9</v>
      </c>
      <c r="D18" s="214">
        <v>20553000</v>
      </c>
      <c r="E18" s="216">
        <v>10857600</v>
      </c>
      <c r="F18" s="216">
        <f>D18*0.05</f>
        <v>1027650</v>
      </c>
      <c r="G18" s="216">
        <v>597168</v>
      </c>
      <c r="H18" s="207">
        <v>5.5</v>
      </c>
      <c r="I18" s="207">
        <v>2634.15</v>
      </c>
      <c r="J18" s="216">
        <v>18071290</v>
      </c>
      <c r="K18" s="216">
        <v>18058360</v>
      </c>
      <c r="L18" s="215">
        <f t="shared" si="0"/>
        <v>-12930</v>
      </c>
      <c r="M18" s="214">
        <f>K18+N18</f>
        <v>32366992</v>
      </c>
      <c r="N18" s="213">
        <v>14308632</v>
      </c>
    </row>
    <row r="19" spans="1:14" ht="26.25" customHeight="1">
      <c r="A19" s="214">
        <v>11</v>
      </c>
      <c r="B19" s="218" t="s">
        <v>1191</v>
      </c>
      <c r="C19" s="217">
        <v>87</v>
      </c>
      <c r="D19" s="214">
        <v>18564000</v>
      </c>
      <c r="E19" s="216">
        <v>19000800</v>
      </c>
      <c r="F19" s="216">
        <v>928200</v>
      </c>
      <c r="G19" s="216">
        <v>1119690</v>
      </c>
      <c r="H19" s="207">
        <v>5.89</v>
      </c>
      <c r="I19" s="207">
        <v>2634.15</v>
      </c>
      <c r="J19" s="216">
        <v>31624750</v>
      </c>
      <c r="K19" s="216">
        <v>31602131</v>
      </c>
      <c r="L19" s="215">
        <f t="shared" si="0"/>
        <v>-22619</v>
      </c>
      <c r="M19" s="214">
        <f>K19+N19</f>
        <v>61194975</v>
      </c>
      <c r="N19" s="213">
        <v>29592844</v>
      </c>
    </row>
    <row r="20" spans="1:14" ht="26.25" customHeight="1">
      <c r="A20" s="214">
        <v>12</v>
      </c>
      <c r="B20" s="218" t="s">
        <v>1190</v>
      </c>
      <c r="C20" s="217">
        <v>87</v>
      </c>
      <c r="D20" s="214">
        <v>20553000</v>
      </c>
      <c r="E20" s="216">
        <v>21036600</v>
      </c>
      <c r="F20" s="216">
        <f>D20*0.05</f>
        <v>1027650</v>
      </c>
      <c r="G20" s="216">
        <v>1157013</v>
      </c>
      <c r="H20" s="207">
        <v>5.5</v>
      </c>
      <c r="I20" s="207">
        <v>2634.15</v>
      </c>
      <c r="J20" s="216">
        <v>35013111</v>
      </c>
      <c r="K20" s="216">
        <v>34988073</v>
      </c>
      <c r="L20" s="215">
        <f t="shared" si="0"/>
        <v>-25038</v>
      </c>
      <c r="M20" s="214">
        <f>K20+N20</f>
        <v>62577708</v>
      </c>
      <c r="N20" s="213">
        <v>27589635</v>
      </c>
    </row>
    <row r="21" spans="1:14" ht="33" customHeight="1">
      <c r="A21" s="209"/>
      <c r="B21" s="209"/>
      <c r="C21" s="210"/>
      <c r="D21" s="209"/>
      <c r="E21" s="212">
        <f>SUM(E6:E20)</f>
        <v>231521140</v>
      </c>
      <c r="F21" s="209"/>
      <c r="G21" s="212">
        <f>SUM(G6:G20)</f>
        <v>12817314</v>
      </c>
      <c r="H21" s="211"/>
      <c r="I21" s="210"/>
      <c r="J21" s="209"/>
      <c r="K21" s="209"/>
      <c r="L21" s="208">
        <f>SUM(L6:L20)</f>
        <v>-17002449</v>
      </c>
      <c r="M21" s="208">
        <f>SUM(M6:M20)</f>
        <v>813286485</v>
      </c>
      <c r="N21" s="208">
        <f>SUM(N6:N20)</f>
        <v>317339341</v>
      </c>
    </row>
    <row r="22" spans="1:14" ht="12.75">
      <c r="A22" s="1370" t="s">
        <v>1239</v>
      </c>
      <c r="B22" s="1370"/>
      <c r="C22" s="203"/>
      <c r="D22" s="202">
        <v>0.85</v>
      </c>
      <c r="L22" s="207">
        <f>L21/10000000</f>
        <v>-1.7002449</v>
      </c>
      <c r="M22" s="207">
        <f>M21/10000000</f>
        <v>81.3286485</v>
      </c>
      <c r="N22" s="207">
        <f>N21/10000000</f>
        <v>31.7339341</v>
      </c>
    </row>
    <row r="23" spans="1:4" ht="12.75">
      <c r="A23" s="206" t="s">
        <v>1238</v>
      </c>
      <c r="B23" s="205"/>
      <c r="C23" s="204"/>
      <c r="D23" s="198" t="s">
        <v>1237</v>
      </c>
    </row>
    <row r="24" spans="1:4" ht="12.75">
      <c r="A24" s="1371" t="s">
        <v>1236</v>
      </c>
      <c r="B24" s="1372"/>
      <c r="C24" s="203"/>
      <c r="D24" s="202">
        <v>0.05</v>
      </c>
    </row>
    <row r="25" spans="1:7" ht="12.75">
      <c r="A25" s="201" t="s">
        <v>1235</v>
      </c>
      <c r="F25" s="90" t="s">
        <v>1234</v>
      </c>
      <c r="G25" s="198" t="s">
        <v>1233</v>
      </c>
    </row>
    <row r="26" spans="1:13" ht="12.75">
      <c r="A26" s="200"/>
      <c r="B26" s="199"/>
      <c r="C26" s="199"/>
      <c r="D26" s="199"/>
      <c r="E26" s="199"/>
      <c r="F26" s="199"/>
      <c r="G26" s="199"/>
      <c r="H26" s="199"/>
      <c r="I26" s="199"/>
      <c r="J26" s="199"/>
      <c r="K26" s="199"/>
      <c r="L26" s="199"/>
      <c r="M26" s="199"/>
    </row>
    <row r="27" ht="12.75">
      <c r="A27" s="198" t="s">
        <v>1232</v>
      </c>
    </row>
    <row r="28" ht="12.75">
      <c r="G28" s="197"/>
    </row>
  </sheetData>
  <sheetProtection/>
  <mergeCells count="3">
    <mergeCell ref="A1:N3"/>
    <mergeCell ref="A22:B22"/>
    <mergeCell ref="A24:B24"/>
  </mergeCells>
  <printOptions horizontalCentered="1" verticalCentered="1"/>
  <pageMargins left="0.16" right="0.16" top="0.42" bottom="0.43" header="0.3" footer="0.3"/>
  <pageSetup horizontalDpi="600" verticalDpi="600" orientation="landscape" paperSize="9" scale="90" r:id="rId1"/>
</worksheet>
</file>

<file path=xl/worksheets/sheet47.xml><?xml version="1.0" encoding="utf-8"?>
<worksheet xmlns="http://schemas.openxmlformats.org/spreadsheetml/2006/main" xmlns:r="http://schemas.openxmlformats.org/officeDocument/2006/relationships">
  <dimension ref="A1:AE51"/>
  <sheetViews>
    <sheetView zoomScalePageLayoutView="0" workbookViewId="0" topLeftCell="A1">
      <selection activeCell="A46" sqref="A46:D46"/>
    </sheetView>
  </sheetViews>
  <sheetFormatPr defaultColWidth="9.33203125" defaultRowHeight="12.75"/>
  <cols>
    <col min="1" max="1" width="4.83203125" style="90" customWidth="1"/>
    <col min="2" max="2" width="9.66015625" style="90" customWidth="1"/>
    <col min="3" max="3" width="9.33203125" style="90" customWidth="1"/>
    <col min="4" max="4" width="13.16015625" style="90" customWidth="1"/>
    <col min="5" max="5" width="16.33203125" style="90" customWidth="1"/>
    <col min="6" max="6" width="0.328125" style="90" hidden="1" customWidth="1"/>
    <col min="7" max="9" width="10.66015625" style="90" hidden="1" customWidth="1"/>
    <col min="10" max="10" width="9.33203125" style="90" customWidth="1"/>
    <col min="11" max="11" width="1.171875" style="90" customWidth="1"/>
    <col min="12" max="12" width="9.33203125" style="90" customWidth="1"/>
    <col min="13" max="13" width="16.83203125" style="90" customWidth="1"/>
    <col min="14" max="14" width="0.4921875" style="90" customWidth="1"/>
    <col min="15" max="15" width="15.33203125" style="90" customWidth="1"/>
    <col min="16" max="16" width="9.33203125" style="90" customWidth="1"/>
    <col min="17" max="17" width="15" style="90" customWidth="1"/>
    <col min="18" max="19" width="9.33203125" style="90" customWidth="1"/>
    <col min="20" max="20" width="0.1640625" style="90" customWidth="1"/>
    <col min="21" max="21" width="9.33203125" style="90" customWidth="1"/>
    <col min="22" max="22" width="11.66015625" style="90" customWidth="1"/>
    <col min="23" max="23" width="9.33203125" style="90" customWidth="1"/>
    <col min="24" max="24" width="8" style="90" customWidth="1"/>
    <col min="25" max="25" width="11.33203125" style="90" customWidth="1"/>
    <col min="26" max="26" width="14.83203125" style="90" customWidth="1"/>
    <col min="27" max="27" width="8.16015625" style="90" customWidth="1"/>
    <col min="28" max="28" width="9.33203125" style="90" customWidth="1"/>
    <col min="29" max="29" width="13.16015625" style="90" customWidth="1"/>
    <col min="30" max="30" width="12.83203125" style="90" customWidth="1"/>
    <col min="31" max="16384" width="9.33203125" style="90" customWidth="1"/>
  </cols>
  <sheetData>
    <row r="1" spans="1:28" ht="21">
      <c r="A1" s="1373" t="s">
        <v>1231</v>
      </c>
      <c r="B1" s="1373"/>
      <c r="C1" s="1373"/>
      <c r="D1" s="1373"/>
      <c r="E1" s="1373"/>
      <c r="F1" s="1373"/>
      <c r="G1" s="1373"/>
      <c r="H1" s="1373"/>
      <c r="I1" s="1373"/>
      <c r="J1" s="1373"/>
      <c r="K1" s="1373"/>
      <c r="L1" s="1373"/>
      <c r="M1" s="1373"/>
      <c r="N1" s="1373"/>
      <c r="O1" s="1373"/>
      <c r="P1" s="1373"/>
      <c r="Q1" s="1373"/>
      <c r="R1" s="1373"/>
      <c r="S1" s="1373"/>
      <c r="T1" s="1373"/>
      <c r="U1" s="1373"/>
      <c r="V1" s="1373"/>
      <c r="W1" s="1373"/>
      <c r="X1" s="1373"/>
      <c r="Y1" s="1373"/>
      <c r="Z1" s="1373"/>
      <c r="AA1" s="91"/>
      <c r="AB1" s="91"/>
    </row>
    <row r="2" spans="1:30" ht="210">
      <c r="A2" s="196" t="s">
        <v>1230</v>
      </c>
      <c r="B2" s="134" t="s">
        <v>1229</v>
      </c>
      <c r="C2" s="195"/>
      <c r="D2" s="1327" t="s">
        <v>1228</v>
      </c>
      <c r="E2" s="1328"/>
      <c r="F2" s="1328"/>
      <c r="G2" s="1329"/>
      <c r="H2" s="1327"/>
      <c r="I2" s="1329"/>
      <c r="J2" s="1330" t="s">
        <v>1227</v>
      </c>
      <c r="K2" s="1374"/>
      <c r="L2" s="1375"/>
      <c r="M2" s="194" t="s">
        <v>1226</v>
      </c>
      <c r="N2" s="194" t="s">
        <v>1225</v>
      </c>
      <c r="O2" s="193" t="s">
        <v>1224</v>
      </c>
      <c r="P2" s="193" t="s">
        <v>1223</v>
      </c>
      <c r="Q2" s="192" t="s">
        <v>1222</v>
      </c>
      <c r="R2" s="191" t="s">
        <v>1221</v>
      </c>
      <c r="S2" s="191" t="s">
        <v>1220</v>
      </c>
      <c r="T2" s="190" t="s">
        <v>1219</v>
      </c>
      <c r="U2" s="184" t="s">
        <v>1218</v>
      </c>
      <c r="V2" s="184" t="s">
        <v>1217</v>
      </c>
      <c r="W2" s="189" t="s">
        <v>1216</v>
      </c>
      <c r="X2" s="189" t="s">
        <v>1215</v>
      </c>
      <c r="Y2" s="189" t="s">
        <v>1214</v>
      </c>
      <c r="Z2" s="184" t="s">
        <v>1213</v>
      </c>
      <c r="AA2" s="189" t="s">
        <v>1212</v>
      </c>
      <c r="AB2" s="189" t="s">
        <v>1211</v>
      </c>
      <c r="AC2" s="188" t="s">
        <v>1210</v>
      </c>
      <c r="AD2" s="188" t="s">
        <v>1209</v>
      </c>
    </row>
    <row r="3" spans="1:28" ht="60">
      <c r="A3" s="187"/>
      <c r="B3" s="187"/>
      <c r="C3" s="187"/>
      <c r="D3" s="185" t="s">
        <v>1203</v>
      </c>
      <c r="E3" s="185" t="s">
        <v>1208</v>
      </c>
      <c r="F3" s="185" t="s">
        <v>1207</v>
      </c>
      <c r="G3" s="186" t="s">
        <v>1206</v>
      </c>
      <c r="H3" s="185" t="s">
        <v>1205</v>
      </c>
      <c r="I3" s="186" t="s">
        <v>1204</v>
      </c>
      <c r="J3" s="185" t="s">
        <v>1203</v>
      </c>
      <c r="K3" s="185" t="s">
        <v>1202</v>
      </c>
      <c r="L3" s="185"/>
      <c r="M3" s="184"/>
      <c r="N3" s="184"/>
      <c r="O3" s="183"/>
      <c r="P3" s="92"/>
      <c r="Q3" s="122"/>
      <c r="R3" s="122"/>
      <c r="S3" s="122"/>
      <c r="T3" s="182"/>
      <c r="U3" s="135"/>
      <c r="V3" s="135"/>
      <c r="W3" s="135"/>
      <c r="X3" s="122"/>
      <c r="Y3" s="122"/>
      <c r="Z3" s="122"/>
      <c r="AA3" s="122"/>
      <c r="AB3" s="115"/>
    </row>
    <row r="4" spans="1:30" ht="15">
      <c r="A4" s="1333">
        <v>1</v>
      </c>
      <c r="B4" s="1336" t="s">
        <v>1201</v>
      </c>
      <c r="C4" s="132" t="s">
        <v>1189</v>
      </c>
      <c r="D4" s="129">
        <v>10784.848</v>
      </c>
      <c r="E4" s="129"/>
      <c r="F4" s="127" t="e">
        <f aca="true" t="shared" si="0" ref="F4:F32">ROUND((2646*W4*100)/(U4*(100-R4)),2)</f>
        <v>#DIV/0!</v>
      </c>
      <c r="G4" s="127" t="e">
        <f aca="true" t="shared" si="1" ref="G4:G39">(Q4*F4)-Y4</f>
        <v>#DIV/0!</v>
      </c>
      <c r="H4" s="127" t="e">
        <f aca="true" t="shared" si="2" ref="H4:H39">ROUND((S4*W4*100)/(U4*95),2)</f>
        <v>#DIV/0!</v>
      </c>
      <c r="I4" s="127" t="e">
        <f aca="true" t="shared" si="3" ref="I4:I39">(Q4*H4)-Y4</f>
        <v>#DIV/0!</v>
      </c>
      <c r="J4" s="129">
        <v>2393532</v>
      </c>
      <c r="K4" s="127"/>
      <c r="L4" s="127">
        <f>J4+K4</f>
        <v>2393532</v>
      </c>
      <c r="M4" s="126">
        <f>D4*J4+E4*K4</f>
        <v>25813878803.136</v>
      </c>
      <c r="N4" s="126" t="e">
        <f>H4*J4+I4*K4</f>
        <v>#DIV/0!</v>
      </c>
      <c r="O4" s="115"/>
      <c r="P4" s="115"/>
      <c r="Q4" s="136"/>
      <c r="R4" s="175" t="e">
        <f aca="true" t="shared" si="4" ref="R4:R39">P4*100/O4</f>
        <v>#DIV/0!</v>
      </c>
      <c r="S4" s="175" t="e">
        <f aca="true" t="shared" si="5" ref="S4:S39">ROUND((M4)/O4,2)</f>
        <v>#DIV/0!</v>
      </c>
      <c r="T4" s="181"/>
      <c r="U4" s="119">
        <f aca="true" t="shared" si="6" ref="U4:U39">M4/L4</f>
        <v>10784.848</v>
      </c>
      <c r="V4" s="157">
        <v>21081455</v>
      </c>
      <c r="W4" s="120">
        <f aca="true" t="shared" si="7" ref="W4:W39">ROUND(V4/L4,3)</f>
        <v>8.808</v>
      </c>
      <c r="X4" s="119">
        <f aca="true" t="shared" si="8" ref="X4:X39">ROUND((2646*W4*100)/(U4*95),2)</f>
        <v>2.27</v>
      </c>
      <c r="Y4" s="173">
        <f aca="true" t="shared" si="9" ref="Y4:Y30">X4*Q4</f>
        <v>0</v>
      </c>
      <c r="Z4" s="179">
        <f aca="true" t="shared" si="10" ref="Z4:Z39">Y4-V4</f>
        <v>-21081455</v>
      </c>
      <c r="AA4" s="122"/>
      <c r="AB4" s="115"/>
      <c r="AC4" s="107"/>
      <c r="AD4" s="107"/>
    </row>
    <row r="5" spans="1:30" ht="15">
      <c r="A5" s="1334"/>
      <c r="B5" s="1337"/>
      <c r="C5" s="132" t="s">
        <v>1188</v>
      </c>
      <c r="D5" s="129">
        <v>10788.428</v>
      </c>
      <c r="E5" s="129"/>
      <c r="F5" s="127" t="e">
        <f t="shared" si="0"/>
        <v>#DIV/0!</v>
      </c>
      <c r="G5" s="127" t="e">
        <f t="shared" si="1"/>
        <v>#DIV/0!</v>
      </c>
      <c r="H5" s="127" t="e">
        <f t="shared" si="2"/>
        <v>#DIV/0!</v>
      </c>
      <c r="I5" s="127" t="e">
        <f t="shared" si="3"/>
        <v>#DIV/0!</v>
      </c>
      <c r="J5" s="129">
        <v>2395546</v>
      </c>
      <c r="K5" s="127"/>
      <c r="L5" s="127">
        <f>J5+K5</f>
        <v>2395546</v>
      </c>
      <c r="M5" s="126">
        <f>D5*J5+E5*K5</f>
        <v>25844175541.688</v>
      </c>
      <c r="N5" s="126" t="e">
        <f>H5*L5</f>
        <v>#DIV/0!</v>
      </c>
      <c r="O5" s="115"/>
      <c r="P5" s="115"/>
      <c r="Q5" s="136"/>
      <c r="R5" s="175" t="e">
        <f t="shared" si="4"/>
        <v>#DIV/0!</v>
      </c>
      <c r="S5" s="175" t="e">
        <f t="shared" si="5"/>
        <v>#DIV/0!</v>
      </c>
      <c r="T5" s="180"/>
      <c r="U5" s="119">
        <f t="shared" si="6"/>
        <v>10788.428</v>
      </c>
      <c r="V5" s="135">
        <v>21106205</v>
      </c>
      <c r="W5" s="120">
        <f t="shared" si="7"/>
        <v>8.811</v>
      </c>
      <c r="X5" s="119">
        <f t="shared" si="8"/>
        <v>2.27</v>
      </c>
      <c r="Y5" s="173">
        <f t="shared" si="9"/>
        <v>0</v>
      </c>
      <c r="Z5" s="179">
        <f t="shared" si="10"/>
        <v>-21106205</v>
      </c>
      <c r="AA5" s="122"/>
      <c r="AB5" s="115"/>
      <c r="AC5" s="107"/>
      <c r="AD5" s="107"/>
    </row>
    <row r="6" spans="1:30" ht="15">
      <c r="A6" s="1335"/>
      <c r="B6" s="1338"/>
      <c r="C6" s="132" t="s">
        <v>1187</v>
      </c>
      <c r="D6" s="129"/>
      <c r="E6" s="129"/>
      <c r="F6" s="127">
        <f t="shared" si="0"/>
        <v>2.29</v>
      </c>
      <c r="G6" s="127">
        <f t="shared" si="1"/>
        <v>369060</v>
      </c>
      <c r="H6" s="127">
        <f t="shared" si="2"/>
        <v>2.27</v>
      </c>
      <c r="I6" s="127">
        <f t="shared" si="3"/>
        <v>0</v>
      </c>
      <c r="J6" s="129"/>
      <c r="K6" s="127"/>
      <c r="L6" s="128">
        <f>SUM(L4:L5)</f>
        <v>4789078</v>
      </c>
      <c r="M6" s="178">
        <f>SUM(M4:M5)</f>
        <v>51658054344.824005</v>
      </c>
      <c r="N6" s="126"/>
      <c r="O6" s="125">
        <v>19581590</v>
      </c>
      <c r="P6" s="125">
        <v>1128590</v>
      </c>
      <c r="Q6" s="136">
        <f>O6-P6</f>
        <v>18453000</v>
      </c>
      <c r="R6" s="175">
        <f t="shared" si="4"/>
        <v>5.763525842385628</v>
      </c>
      <c r="S6" s="174">
        <f t="shared" si="5"/>
        <v>2638.09</v>
      </c>
      <c r="T6" s="177"/>
      <c r="U6" s="119">
        <f t="shared" si="6"/>
        <v>10786.638752767027</v>
      </c>
      <c r="V6" s="121">
        <f>V4+V5</f>
        <v>42187660</v>
      </c>
      <c r="W6" s="120">
        <f t="shared" si="7"/>
        <v>8.809</v>
      </c>
      <c r="X6" s="119">
        <f t="shared" si="8"/>
        <v>2.27</v>
      </c>
      <c r="Y6" s="157">
        <f t="shared" si="9"/>
        <v>41888310</v>
      </c>
      <c r="Z6" s="121">
        <f t="shared" si="10"/>
        <v>-299350</v>
      </c>
      <c r="AA6" s="116">
        <f aca="true" t="shared" si="11" ref="AA6:AA39">O6*100/(780000*AB6)</f>
        <v>83.68200854700855</v>
      </c>
      <c r="AB6" s="115">
        <v>30</v>
      </c>
      <c r="AC6" s="107">
        <v>69225903</v>
      </c>
      <c r="AD6" s="107">
        <v>27360747</v>
      </c>
    </row>
    <row r="7" spans="1:30" ht="15">
      <c r="A7" s="1333">
        <v>2</v>
      </c>
      <c r="B7" s="1339" t="s">
        <v>1200</v>
      </c>
      <c r="C7" s="132" t="s">
        <v>1189</v>
      </c>
      <c r="D7" s="148">
        <v>10783.686</v>
      </c>
      <c r="E7" s="148"/>
      <c r="F7" s="127" t="e">
        <f t="shared" si="0"/>
        <v>#DIV/0!</v>
      </c>
      <c r="G7" s="127" t="e">
        <f t="shared" si="1"/>
        <v>#DIV/0!</v>
      </c>
      <c r="H7" s="127" t="e">
        <f t="shared" si="2"/>
        <v>#DIV/0!</v>
      </c>
      <c r="I7" s="127" t="e">
        <f t="shared" si="3"/>
        <v>#DIV/0!</v>
      </c>
      <c r="J7" s="148">
        <v>2379673</v>
      </c>
      <c r="K7" s="151"/>
      <c r="L7" s="161">
        <f>+J7+K7</f>
        <v>2379673</v>
      </c>
      <c r="M7" s="151">
        <f>D7*J7+E7*K7</f>
        <v>25661646414.677998</v>
      </c>
      <c r="N7" s="151" t="e">
        <f>H7*L7</f>
        <v>#DIV/0!</v>
      </c>
      <c r="O7" s="135"/>
      <c r="P7" s="163"/>
      <c r="Q7" s="136"/>
      <c r="R7" s="175" t="e">
        <f t="shared" si="4"/>
        <v>#DIV/0!</v>
      </c>
      <c r="S7" s="175" t="e">
        <f t="shared" si="5"/>
        <v>#DIV/0!</v>
      </c>
      <c r="T7" s="1341"/>
      <c r="U7" s="119">
        <f t="shared" si="6"/>
        <v>10783.686</v>
      </c>
      <c r="V7" s="135">
        <v>21425579</v>
      </c>
      <c r="W7" s="120">
        <f t="shared" si="7"/>
        <v>9.004</v>
      </c>
      <c r="X7" s="119">
        <f t="shared" si="8"/>
        <v>2.33</v>
      </c>
      <c r="Y7" s="173">
        <f t="shared" si="9"/>
        <v>0</v>
      </c>
      <c r="Z7" s="162">
        <f t="shared" si="10"/>
        <v>-21425579</v>
      </c>
      <c r="AA7" s="116" t="e">
        <f t="shared" si="11"/>
        <v>#DIV/0!</v>
      </c>
      <c r="AB7" s="135"/>
      <c r="AC7" s="107"/>
      <c r="AD7" s="107"/>
    </row>
    <row r="8" spans="1:30" ht="15">
      <c r="A8" s="1335"/>
      <c r="B8" s="1340"/>
      <c r="C8" s="132" t="s">
        <v>1188</v>
      </c>
      <c r="D8" s="148">
        <v>10890.99</v>
      </c>
      <c r="E8" s="148"/>
      <c r="F8" s="127" t="e">
        <f t="shared" si="0"/>
        <v>#DIV/0!</v>
      </c>
      <c r="G8" s="127" t="e">
        <f t="shared" si="1"/>
        <v>#DIV/0!</v>
      </c>
      <c r="H8" s="127" t="e">
        <f t="shared" si="2"/>
        <v>#DIV/0!</v>
      </c>
      <c r="I8" s="127" t="e">
        <f t="shared" si="3"/>
        <v>#DIV/0!</v>
      </c>
      <c r="J8" s="148">
        <v>2745549</v>
      </c>
      <c r="K8" s="148"/>
      <c r="L8" s="161">
        <f>+J8+K8</f>
        <v>2745549</v>
      </c>
      <c r="M8" s="151">
        <f>D8*J8+E8*K8</f>
        <v>29901746703.51</v>
      </c>
      <c r="N8" s="151" t="e">
        <f>H8*L8</f>
        <v>#DIV/0!</v>
      </c>
      <c r="O8" s="135"/>
      <c r="P8" s="163"/>
      <c r="Q8" s="136"/>
      <c r="R8" s="175" t="e">
        <f t="shared" si="4"/>
        <v>#DIV/0!</v>
      </c>
      <c r="S8" s="175" t="e">
        <f t="shared" si="5"/>
        <v>#DIV/0!</v>
      </c>
      <c r="T8" s="1342"/>
      <c r="U8" s="119">
        <f t="shared" si="6"/>
        <v>10890.99</v>
      </c>
      <c r="V8" s="135">
        <v>24965806</v>
      </c>
      <c r="W8" s="120">
        <f t="shared" si="7"/>
        <v>9.093</v>
      </c>
      <c r="X8" s="119">
        <f t="shared" si="8"/>
        <v>2.33</v>
      </c>
      <c r="Y8" s="173">
        <f t="shared" si="9"/>
        <v>0</v>
      </c>
      <c r="Z8" s="162">
        <f t="shared" si="10"/>
        <v>-24965806</v>
      </c>
      <c r="AA8" s="116" t="e">
        <f t="shared" si="11"/>
        <v>#DIV/0!</v>
      </c>
      <c r="AB8" s="135"/>
      <c r="AC8" s="107"/>
      <c r="AD8" s="107"/>
    </row>
    <row r="9" spans="1:30" ht="15">
      <c r="A9" s="160"/>
      <c r="B9" s="159"/>
      <c r="C9" s="132" t="s">
        <v>1187</v>
      </c>
      <c r="D9" s="131"/>
      <c r="E9" s="131"/>
      <c r="F9" s="127">
        <f t="shared" si="0"/>
        <v>2.33</v>
      </c>
      <c r="G9" s="127">
        <f t="shared" si="1"/>
        <v>0</v>
      </c>
      <c r="H9" s="127">
        <f t="shared" si="2"/>
        <v>2.32</v>
      </c>
      <c r="I9" s="127">
        <f t="shared" si="3"/>
        <v>-199088</v>
      </c>
      <c r="J9" s="131"/>
      <c r="K9" s="148"/>
      <c r="L9" s="138">
        <f>SUM(L7:L8)</f>
        <v>5125222</v>
      </c>
      <c r="M9" s="171">
        <f>SUM(M7:M8)</f>
        <v>55563393118.187996</v>
      </c>
      <c r="N9" s="151"/>
      <c r="O9" s="157">
        <v>21020230</v>
      </c>
      <c r="P9" s="125">
        <v>1111430</v>
      </c>
      <c r="Q9" s="156">
        <v>19908800</v>
      </c>
      <c r="R9" s="175">
        <f t="shared" si="4"/>
        <v>5.287430251714658</v>
      </c>
      <c r="S9" s="174">
        <f t="shared" si="5"/>
        <v>2643.33</v>
      </c>
      <c r="T9" s="176"/>
      <c r="U9" s="119">
        <f t="shared" si="6"/>
        <v>10841.168073926943</v>
      </c>
      <c r="V9" s="121">
        <f>V7+V8</f>
        <v>46391385</v>
      </c>
      <c r="W9" s="120">
        <f t="shared" si="7"/>
        <v>9.052</v>
      </c>
      <c r="X9" s="119">
        <f t="shared" si="8"/>
        <v>2.33</v>
      </c>
      <c r="Y9" s="157">
        <f t="shared" si="9"/>
        <v>46387504</v>
      </c>
      <c r="Z9" s="121">
        <f t="shared" si="10"/>
        <v>-3881</v>
      </c>
      <c r="AA9" s="116">
        <f t="shared" si="11"/>
        <v>86.9322994210091</v>
      </c>
      <c r="AB9" s="135">
        <v>31</v>
      </c>
      <c r="AC9" s="107">
        <v>82061412</v>
      </c>
      <c r="AD9" s="107">
        <v>27772996</v>
      </c>
    </row>
    <row r="10" spans="1:30" ht="15">
      <c r="A10" s="1333">
        <v>3</v>
      </c>
      <c r="B10" s="1339" t="s">
        <v>1199</v>
      </c>
      <c r="C10" s="132" t="s">
        <v>1189</v>
      </c>
      <c r="D10" s="164">
        <v>10890.99</v>
      </c>
      <c r="E10" s="164"/>
      <c r="F10" s="127" t="e">
        <f t="shared" si="0"/>
        <v>#DIV/0!</v>
      </c>
      <c r="G10" s="127" t="e">
        <f t="shared" si="1"/>
        <v>#DIV/0!</v>
      </c>
      <c r="H10" s="127" t="e">
        <f t="shared" si="2"/>
        <v>#DIV/0!</v>
      </c>
      <c r="I10" s="127" t="e">
        <f t="shared" si="3"/>
        <v>#DIV/0!</v>
      </c>
      <c r="J10" s="164">
        <v>2563475</v>
      </c>
      <c r="K10" s="148"/>
      <c r="L10" s="161">
        <f>+J10+K10</f>
        <v>2563475</v>
      </c>
      <c r="M10" s="151">
        <f>D10*J10+E10*K10</f>
        <v>27918780590.25</v>
      </c>
      <c r="N10" s="151" t="e">
        <f>H10*L10</f>
        <v>#DIV/0!</v>
      </c>
      <c r="O10" s="135"/>
      <c r="P10" s="163"/>
      <c r="Q10" s="136"/>
      <c r="R10" s="175" t="e">
        <f t="shared" si="4"/>
        <v>#DIV/0!</v>
      </c>
      <c r="S10" s="175" t="e">
        <f t="shared" si="5"/>
        <v>#DIV/0!</v>
      </c>
      <c r="T10" s="1341"/>
      <c r="U10" s="119">
        <f t="shared" si="6"/>
        <v>10890.99</v>
      </c>
      <c r="V10" s="135">
        <v>23154225</v>
      </c>
      <c r="W10" s="120">
        <f t="shared" si="7"/>
        <v>9.032</v>
      </c>
      <c r="X10" s="119">
        <f t="shared" si="8"/>
        <v>2.31</v>
      </c>
      <c r="Y10" s="173">
        <f t="shared" si="9"/>
        <v>0</v>
      </c>
      <c r="Z10" s="162">
        <f t="shared" si="10"/>
        <v>-23154225</v>
      </c>
      <c r="AA10" s="116" t="e">
        <f t="shared" si="11"/>
        <v>#DIV/0!</v>
      </c>
      <c r="AB10" s="135"/>
      <c r="AC10" s="107"/>
      <c r="AD10" s="107"/>
    </row>
    <row r="11" spans="1:30" ht="15">
      <c r="A11" s="1335"/>
      <c r="B11" s="1340"/>
      <c r="C11" s="132" t="s">
        <v>1188</v>
      </c>
      <c r="D11" s="164">
        <v>10890.99</v>
      </c>
      <c r="E11" s="164"/>
      <c r="F11" s="127" t="e">
        <f t="shared" si="0"/>
        <v>#DIV/0!</v>
      </c>
      <c r="G11" s="127" t="e">
        <f t="shared" si="1"/>
        <v>#DIV/0!</v>
      </c>
      <c r="H11" s="127" t="e">
        <f t="shared" si="2"/>
        <v>#DIV/0!</v>
      </c>
      <c r="I11" s="127" t="e">
        <f t="shared" si="3"/>
        <v>#DIV/0!</v>
      </c>
      <c r="J11" s="148">
        <v>2606478</v>
      </c>
      <c r="K11" s="148"/>
      <c r="L11" s="161">
        <f>+J11+K11</f>
        <v>2606478</v>
      </c>
      <c r="M11" s="151">
        <f>D11*J11+E11*K11</f>
        <v>28387125833.22</v>
      </c>
      <c r="N11" s="151" t="e">
        <f>H11*L11</f>
        <v>#DIV/0!</v>
      </c>
      <c r="O11" s="135"/>
      <c r="P11" s="163"/>
      <c r="Q11" s="136"/>
      <c r="R11" s="175" t="e">
        <f t="shared" si="4"/>
        <v>#DIV/0!</v>
      </c>
      <c r="S11" s="175" t="e">
        <f t="shared" si="5"/>
        <v>#DIV/0!</v>
      </c>
      <c r="T11" s="1342"/>
      <c r="U11" s="119">
        <f t="shared" si="6"/>
        <v>10890.99</v>
      </c>
      <c r="V11" s="135">
        <v>23542644</v>
      </c>
      <c r="W11" s="120">
        <f t="shared" si="7"/>
        <v>9.032</v>
      </c>
      <c r="X11" s="119">
        <f t="shared" si="8"/>
        <v>2.31</v>
      </c>
      <c r="Y11" s="173">
        <f t="shared" si="9"/>
        <v>0</v>
      </c>
      <c r="Z11" s="162">
        <f t="shared" si="10"/>
        <v>-23542644</v>
      </c>
      <c r="AA11" s="116" t="e">
        <f t="shared" si="11"/>
        <v>#DIV/0!</v>
      </c>
      <c r="AB11" s="135"/>
      <c r="AC11" s="107"/>
      <c r="AD11" s="107"/>
    </row>
    <row r="12" spans="1:30" ht="15">
      <c r="A12" s="160"/>
      <c r="B12" s="159"/>
      <c r="C12" s="132" t="s">
        <v>1187</v>
      </c>
      <c r="D12" s="158"/>
      <c r="E12" s="158"/>
      <c r="F12" s="127">
        <f t="shared" si="0"/>
        <v>2.32</v>
      </c>
      <c r="G12" s="127">
        <f t="shared" si="1"/>
        <v>193538</v>
      </c>
      <c r="H12" s="127">
        <f t="shared" si="2"/>
        <v>2.4</v>
      </c>
      <c r="I12" s="127">
        <f t="shared" si="3"/>
        <v>1741842</v>
      </c>
      <c r="J12" s="148"/>
      <c r="K12" s="148"/>
      <c r="L12" s="161">
        <f>SUM(L10:L11)</f>
        <v>5169953</v>
      </c>
      <c r="M12" s="171">
        <f>SUM(M10:M11)</f>
        <v>56305906423.47</v>
      </c>
      <c r="N12" s="151">
        <f>H12*L12</f>
        <v>12407887.2</v>
      </c>
      <c r="O12" s="157">
        <v>20502670</v>
      </c>
      <c r="P12" s="125">
        <v>1148870</v>
      </c>
      <c r="Q12" s="136">
        <v>19353800</v>
      </c>
      <c r="R12" s="175">
        <f t="shared" si="4"/>
        <v>5.603514078898017</v>
      </c>
      <c r="S12" s="174">
        <f t="shared" si="5"/>
        <v>2746.27</v>
      </c>
      <c r="T12" s="165"/>
      <c r="U12" s="119">
        <f t="shared" si="6"/>
        <v>10890.99</v>
      </c>
      <c r="V12" s="121">
        <f>V10+V11</f>
        <v>46696869</v>
      </c>
      <c r="W12" s="120">
        <f t="shared" si="7"/>
        <v>9.032</v>
      </c>
      <c r="X12" s="119">
        <f t="shared" si="8"/>
        <v>2.31</v>
      </c>
      <c r="Y12" s="157">
        <f t="shared" si="9"/>
        <v>44707278</v>
      </c>
      <c r="Z12" s="121">
        <f t="shared" si="10"/>
        <v>-1989591</v>
      </c>
      <c r="AA12" s="116">
        <f t="shared" si="11"/>
        <v>87.61824786324786</v>
      </c>
      <c r="AB12" s="135">
        <v>30</v>
      </c>
      <c r="AC12" s="107">
        <v>80598535</v>
      </c>
      <c r="AD12" s="107">
        <v>27791257</v>
      </c>
    </row>
    <row r="13" spans="1:30" ht="15">
      <c r="A13" s="1333">
        <v>4</v>
      </c>
      <c r="B13" s="1336" t="s">
        <v>1198</v>
      </c>
      <c r="C13" s="132" t="s">
        <v>1189</v>
      </c>
      <c r="D13" s="148">
        <v>10858.961</v>
      </c>
      <c r="E13" s="148"/>
      <c r="F13" s="131" t="e">
        <f t="shared" si="0"/>
        <v>#DIV/0!</v>
      </c>
      <c r="G13" s="127" t="e">
        <f t="shared" si="1"/>
        <v>#DIV/0!</v>
      </c>
      <c r="H13" s="130" t="e">
        <f t="shared" si="2"/>
        <v>#DIV/0!</v>
      </c>
      <c r="I13" s="127" t="e">
        <f t="shared" si="3"/>
        <v>#DIV/0!</v>
      </c>
      <c r="J13" s="148">
        <v>2319609</v>
      </c>
      <c r="K13" s="148"/>
      <c r="L13" s="161">
        <f>+J13+K13</f>
        <v>2319609</v>
      </c>
      <c r="M13" s="151">
        <f>D13*J13+E13*K13</f>
        <v>25188543666.248997</v>
      </c>
      <c r="N13" s="151" t="e">
        <f>H13*L13</f>
        <v>#DIV/0!</v>
      </c>
      <c r="O13" s="135"/>
      <c r="P13" s="163"/>
      <c r="Q13" s="136"/>
      <c r="R13" s="124" t="e">
        <f t="shared" si="4"/>
        <v>#DIV/0!</v>
      </c>
      <c r="S13" s="124" t="e">
        <f t="shared" si="5"/>
        <v>#DIV/0!</v>
      </c>
      <c r="T13" s="1343"/>
      <c r="U13" s="119">
        <f t="shared" si="6"/>
        <v>10858.961</v>
      </c>
      <c r="V13" s="135">
        <v>20906288</v>
      </c>
      <c r="W13" s="120">
        <f t="shared" si="7"/>
        <v>9.013</v>
      </c>
      <c r="X13" s="119">
        <f t="shared" si="8"/>
        <v>2.31</v>
      </c>
      <c r="Y13" s="173">
        <f t="shared" si="9"/>
        <v>0</v>
      </c>
      <c r="Z13" s="162">
        <f t="shared" si="10"/>
        <v>-20906288</v>
      </c>
      <c r="AA13" s="116" t="e">
        <f t="shared" si="11"/>
        <v>#DIV/0!</v>
      </c>
      <c r="AB13" s="135"/>
      <c r="AC13" s="107"/>
      <c r="AD13" s="107"/>
    </row>
    <row r="14" spans="1:30" ht="15">
      <c r="A14" s="1335"/>
      <c r="B14" s="1338"/>
      <c r="C14" s="132" t="s">
        <v>1188</v>
      </c>
      <c r="D14" s="168">
        <v>10825.785</v>
      </c>
      <c r="E14" s="168"/>
      <c r="F14" s="131" t="e">
        <f t="shared" si="0"/>
        <v>#DIV/0!</v>
      </c>
      <c r="G14" s="127" t="e">
        <f t="shared" si="1"/>
        <v>#DIV/0!</v>
      </c>
      <c r="H14" s="130" t="e">
        <f t="shared" si="2"/>
        <v>#DIV/0!</v>
      </c>
      <c r="I14" s="127" t="e">
        <f t="shared" si="3"/>
        <v>#DIV/0!</v>
      </c>
      <c r="J14" s="148">
        <v>2738895</v>
      </c>
      <c r="K14" s="148"/>
      <c r="L14" s="161">
        <f>+J14+K14</f>
        <v>2738895</v>
      </c>
      <c r="M14" s="151">
        <f>D14*J14+E14*K14</f>
        <v>29650688407.575</v>
      </c>
      <c r="N14" s="151" t="e">
        <f>H14*L14</f>
        <v>#DIV/0!</v>
      </c>
      <c r="O14" s="135"/>
      <c r="P14" s="163"/>
      <c r="Q14" s="136"/>
      <c r="R14" s="124" t="e">
        <f t="shared" si="4"/>
        <v>#DIV/0!</v>
      </c>
      <c r="S14" s="124" t="e">
        <f t="shared" si="5"/>
        <v>#DIV/0!</v>
      </c>
      <c r="T14" s="1343"/>
      <c r="U14" s="119">
        <f t="shared" si="6"/>
        <v>10825.785</v>
      </c>
      <c r="V14" s="135">
        <v>24609786</v>
      </c>
      <c r="W14" s="120">
        <f t="shared" si="7"/>
        <v>8.985</v>
      </c>
      <c r="X14" s="119">
        <f t="shared" si="8"/>
        <v>2.31</v>
      </c>
      <c r="Y14" s="135">
        <f t="shared" si="9"/>
        <v>0</v>
      </c>
      <c r="Z14" s="135">
        <f t="shared" si="10"/>
        <v>-24609786</v>
      </c>
      <c r="AA14" s="116" t="e">
        <f t="shared" si="11"/>
        <v>#DIV/0!</v>
      </c>
      <c r="AB14" s="135"/>
      <c r="AC14" s="107"/>
      <c r="AD14" s="107"/>
    </row>
    <row r="15" spans="1:30" ht="15">
      <c r="A15" s="160"/>
      <c r="B15" s="172"/>
      <c r="C15" s="132" t="s">
        <v>1187</v>
      </c>
      <c r="D15" s="168"/>
      <c r="E15" s="168"/>
      <c r="F15" s="131">
        <f t="shared" si="0"/>
        <v>2.32</v>
      </c>
      <c r="G15" s="127">
        <f t="shared" si="1"/>
        <v>182120</v>
      </c>
      <c r="H15" s="130">
        <f t="shared" si="2"/>
        <v>2.49</v>
      </c>
      <c r="I15" s="127">
        <f t="shared" si="3"/>
        <v>3278160.0000000075</v>
      </c>
      <c r="J15" s="148"/>
      <c r="K15" s="148"/>
      <c r="L15" s="161">
        <f>SUM(L13:L14)</f>
        <v>5058504</v>
      </c>
      <c r="M15" s="171">
        <f>SUM(M13:M14)</f>
        <v>54839232073.824</v>
      </c>
      <c r="N15" s="151" t="e">
        <f>SUM(N13:N14)</f>
        <v>#DIV/0!</v>
      </c>
      <c r="O15" s="171">
        <v>19270090</v>
      </c>
      <c r="P15" s="125">
        <v>1058090</v>
      </c>
      <c r="Q15" s="170">
        <f>O15-P15</f>
        <v>18212000</v>
      </c>
      <c r="R15" s="124">
        <f t="shared" si="4"/>
        <v>5.4908409872501895</v>
      </c>
      <c r="S15" s="123">
        <f t="shared" si="5"/>
        <v>2845.82</v>
      </c>
      <c r="T15" s="169"/>
      <c r="U15" s="119">
        <f t="shared" si="6"/>
        <v>10840.998064610407</v>
      </c>
      <c r="V15" s="121">
        <f>V13+V14</f>
        <v>45516074</v>
      </c>
      <c r="W15" s="120">
        <f t="shared" si="7"/>
        <v>8.998</v>
      </c>
      <c r="X15" s="119">
        <f t="shared" si="8"/>
        <v>2.31</v>
      </c>
      <c r="Y15" s="118">
        <f t="shared" si="9"/>
        <v>42069720</v>
      </c>
      <c r="Z15" s="117">
        <f t="shared" si="10"/>
        <v>-3446354</v>
      </c>
      <c r="AA15" s="116">
        <f t="shared" si="11"/>
        <v>79.6943341604632</v>
      </c>
      <c r="AB15" s="135">
        <v>31</v>
      </c>
      <c r="AC15" s="107">
        <v>77475462</v>
      </c>
      <c r="AD15" s="107">
        <v>27381510</v>
      </c>
    </row>
    <row r="16" spans="1:30" ht="15">
      <c r="A16" s="1333">
        <v>5</v>
      </c>
      <c r="B16" s="1339" t="s">
        <v>1197</v>
      </c>
      <c r="C16" s="132" t="s">
        <v>1189</v>
      </c>
      <c r="D16" s="168">
        <v>10839.211</v>
      </c>
      <c r="E16" s="168"/>
      <c r="F16" s="131" t="e">
        <f t="shared" si="0"/>
        <v>#DIV/0!</v>
      </c>
      <c r="G16" s="127" t="e">
        <f t="shared" si="1"/>
        <v>#DIV/0!</v>
      </c>
      <c r="H16" s="130" t="e">
        <f t="shared" si="2"/>
        <v>#DIV/0!</v>
      </c>
      <c r="I16" s="127" t="e">
        <f t="shared" si="3"/>
        <v>#DIV/0!</v>
      </c>
      <c r="J16" s="148">
        <v>2317602</v>
      </c>
      <c r="K16" s="151"/>
      <c r="L16" s="161">
        <f>+J16+K16</f>
        <v>2317602</v>
      </c>
      <c r="M16" s="151">
        <f>D16*J16+E16*K16</f>
        <v>25120977092.022</v>
      </c>
      <c r="N16" s="151" t="e">
        <f>G16*K16+H16*L16</f>
        <v>#DIV/0!</v>
      </c>
      <c r="O16" s="135"/>
      <c r="P16" s="163"/>
      <c r="Q16" s="136"/>
      <c r="R16" s="124" t="e">
        <f t="shared" si="4"/>
        <v>#DIV/0!</v>
      </c>
      <c r="S16" s="124" t="e">
        <f t="shared" si="5"/>
        <v>#DIV/0!</v>
      </c>
      <c r="T16" s="1341"/>
      <c r="U16" s="119">
        <f t="shared" si="6"/>
        <v>10839.211</v>
      </c>
      <c r="V16" s="135">
        <v>20671229</v>
      </c>
      <c r="W16" s="120">
        <f t="shared" si="7"/>
        <v>8.919</v>
      </c>
      <c r="X16" s="119">
        <f t="shared" si="8"/>
        <v>2.29</v>
      </c>
      <c r="Y16" s="118">
        <f t="shared" si="9"/>
        <v>0</v>
      </c>
      <c r="Z16" s="135">
        <f t="shared" si="10"/>
        <v>-20671229</v>
      </c>
      <c r="AA16" s="116" t="e">
        <f t="shared" si="11"/>
        <v>#DIV/0!</v>
      </c>
      <c r="AB16" s="135"/>
      <c r="AC16" s="107"/>
      <c r="AD16" s="107"/>
    </row>
    <row r="17" spans="1:30" ht="15">
      <c r="A17" s="1335"/>
      <c r="B17" s="1340"/>
      <c r="C17" s="132" t="s">
        <v>1188</v>
      </c>
      <c r="D17" s="148">
        <v>10790.942</v>
      </c>
      <c r="E17" s="148"/>
      <c r="F17" s="131" t="e">
        <f t="shared" si="0"/>
        <v>#DIV/0!</v>
      </c>
      <c r="G17" s="127" t="e">
        <f t="shared" si="1"/>
        <v>#DIV/0!</v>
      </c>
      <c r="H17" s="130" t="e">
        <f t="shared" si="2"/>
        <v>#DIV/0!</v>
      </c>
      <c r="I17" s="127" t="e">
        <f t="shared" si="3"/>
        <v>#DIV/0!</v>
      </c>
      <c r="J17" s="148">
        <v>2793065</v>
      </c>
      <c r="K17" s="148"/>
      <c r="L17" s="161">
        <f>SUM(J17+K17)</f>
        <v>2793065</v>
      </c>
      <c r="M17" s="151">
        <f>D17*J17+E17*K17</f>
        <v>30139802417.229996</v>
      </c>
      <c r="N17" s="151" t="e">
        <f>H17*L17</f>
        <v>#DIV/0!</v>
      </c>
      <c r="O17" s="135"/>
      <c r="P17" s="163"/>
      <c r="Q17" s="136"/>
      <c r="R17" s="124" t="e">
        <f t="shared" si="4"/>
        <v>#DIV/0!</v>
      </c>
      <c r="S17" s="124" t="e">
        <f t="shared" si="5"/>
        <v>#DIV/0!</v>
      </c>
      <c r="T17" s="1342"/>
      <c r="U17" s="119">
        <f t="shared" si="6"/>
        <v>10790.942</v>
      </c>
      <c r="V17" s="135">
        <v>24801013</v>
      </c>
      <c r="W17" s="120">
        <f t="shared" si="7"/>
        <v>8.879</v>
      </c>
      <c r="X17" s="119">
        <f t="shared" si="8"/>
        <v>2.29</v>
      </c>
      <c r="Y17" s="118">
        <f t="shared" si="9"/>
        <v>0</v>
      </c>
      <c r="Z17" s="135">
        <f t="shared" si="10"/>
        <v>-24801013</v>
      </c>
      <c r="AA17" s="116" t="e">
        <f t="shared" si="11"/>
        <v>#DIV/0!</v>
      </c>
      <c r="AB17" s="135"/>
      <c r="AC17" s="107"/>
      <c r="AD17" s="107"/>
    </row>
    <row r="18" spans="1:30" ht="15">
      <c r="A18" s="160"/>
      <c r="B18" s="159"/>
      <c r="C18" s="132" t="s">
        <v>1187</v>
      </c>
      <c r="D18" s="148"/>
      <c r="E18" s="148"/>
      <c r="F18" s="131">
        <f t="shared" si="0"/>
        <v>2.31</v>
      </c>
      <c r="G18" s="127">
        <f t="shared" si="1"/>
        <v>351692</v>
      </c>
      <c r="H18" s="130">
        <f t="shared" si="2"/>
        <v>2.61</v>
      </c>
      <c r="I18" s="127">
        <f t="shared" si="3"/>
        <v>5627072</v>
      </c>
      <c r="J18" s="131"/>
      <c r="K18" s="148"/>
      <c r="L18" s="161">
        <f>SUM(L16:L17)</f>
        <v>5110667</v>
      </c>
      <c r="M18" s="166">
        <f>SUM(M16:M17)</f>
        <v>55260779509.252</v>
      </c>
      <c r="N18" s="167" t="e">
        <f>SUM(N16:N17)</f>
        <v>#DIV/0!</v>
      </c>
      <c r="O18" s="166">
        <v>18352760</v>
      </c>
      <c r="P18" s="125">
        <v>1066360</v>
      </c>
      <c r="Q18" s="136">
        <v>17584600</v>
      </c>
      <c r="R18" s="124">
        <f t="shared" si="4"/>
        <v>5.810352230400223</v>
      </c>
      <c r="S18" s="123">
        <f t="shared" si="5"/>
        <v>3011.03</v>
      </c>
      <c r="T18" s="165"/>
      <c r="U18" s="119">
        <f t="shared" si="6"/>
        <v>10812.831184119803</v>
      </c>
      <c r="V18" s="121">
        <f>V16+V17</f>
        <v>45472242</v>
      </c>
      <c r="W18" s="120">
        <f t="shared" si="7"/>
        <v>8.898</v>
      </c>
      <c r="X18" s="119">
        <f t="shared" si="8"/>
        <v>2.29</v>
      </c>
      <c r="Y18" s="118">
        <f t="shared" si="9"/>
        <v>40268734</v>
      </c>
      <c r="Z18" s="117">
        <f t="shared" si="10"/>
        <v>-5203508</v>
      </c>
      <c r="AA18" s="116">
        <f t="shared" si="11"/>
        <v>75.90057899090156</v>
      </c>
      <c r="AB18" s="135">
        <v>31</v>
      </c>
      <c r="AC18" s="107">
        <v>72306948</v>
      </c>
      <c r="AD18" s="107">
        <v>23771833</v>
      </c>
    </row>
    <row r="19" spans="1:30" ht="15">
      <c r="A19" s="1333">
        <v>6</v>
      </c>
      <c r="B19" s="1339" t="s">
        <v>1196</v>
      </c>
      <c r="C19" s="132" t="s">
        <v>1189</v>
      </c>
      <c r="D19" s="164">
        <v>10798.042</v>
      </c>
      <c r="E19" s="164">
        <v>0</v>
      </c>
      <c r="F19" s="131" t="e">
        <f t="shared" si="0"/>
        <v>#DIV/0!</v>
      </c>
      <c r="G19" s="127" t="e">
        <f t="shared" si="1"/>
        <v>#DIV/0!</v>
      </c>
      <c r="H19" s="130" t="e">
        <f t="shared" si="2"/>
        <v>#DIV/0!</v>
      </c>
      <c r="I19" s="127" t="e">
        <f t="shared" si="3"/>
        <v>#DIV/0!</v>
      </c>
      <c r="J19" s="158">
        <v>2633746</v>
      </c>
      <c r="K19" s="148"/>
      <c r="L19" s="161">
        <f>J19+K19</f>
        <v>2633746</v>
      </c>
      <c r="M19" s="151">
        <f>D19*J19+E19*K19</f>
        <v>28439299925.331997</v>
      </c>
      <c r="N19" s="151"/>
      <c r="O19" s="135"/>
      <c r="P19" s="163"/>
      <c r="Q19" s="136"/>
      <c r="R19" s="124" t="e">
        <f t="shared" si="4"/>
        <v>#DIV/0!</v>
      </c>
      <c r="S19" s="123" t="e">
        <f t="shared" si="5"/>
        <v>#DIV/0!</v>
      </c>
      <c r="T19" s="1343"/>
      <c r="U19" s="119">
        <f t="shared" si="6"/>
        <v>10798.042</v>
      </c>
      <c r="V19" s="162">
        <v>23534979</v>
      </c>
      <c r="W19" s="120">
        <f t="shared" si="7"/>
        <v>8.936</v>
      </c>
      <c r="X19" s="119">
        <f t="shared" si="8"/>
        <v>2.3</v>
      </c>
      <c r="Y19" s="118">
        <f t="shared" si="9"/>
        <v>0</v>
      </c>
      <c r="Z19" s="117">
        <f t="shared" si="10"/>
        <v>-23534979</v>
      </c>
      <c r="AA19" s="116" t="e">
        <f t="shared" si="11"/>
        <v>#DIV/0!</v>
      </c>
      <c r="AB19" s="135"/>
      <c r="AC19" s="107"/>
      <c r="AD19" s="107"/>
    </row>
    <row r="20" spans="1:30" ht="15">
      <c r="A20" s="1335"/>
      <c r="B20" s="1340"/>
      <c r="C20" s="132" t="s">
        <v>1188</v>
      </c>
      <c r="D20" s="158">
        <v>10818.262</v>
      </c>
      <c r="E20" s="158"/>
      <c r="F20" s="131" t="e">
        <f t="shared" si="0"/>
        <v>#DIV/0!</v>
      </c>
      <c r="G20" s="127" t="e">
        <f t="shared" si="1"/>
        <v>#DIV/0!</v>
      </c>
      <c r="H20" s="130" t="e">
        <f t="shared" si="2"/>
        <v>#DIV/0!</v>
      </c>
      <c r="I20" s="127" t="e">
        <f t="shared" si="3"/>
        <v>#DIV/0!</v>
      </c>
      <c r="J20" s="148">
        <v>2658844</v>
      </c>
      <c r="K20" s="148"/>
      <c r="L20" s="161">
        <f>J20+K20</f>
        <v>2658844</v>
      </c>
      <c r="M20" s="151">
        <f>D20*J20+E20*K20</f>
        <v>28764071009.128002</v>
      </c>
      <c r="N20" s="151"/>
      <c r="O20" s="135"/>
      <c r="P20" s="125"/>
      <c r="Q20" s="156"/>
      <c r="R20" s="124" t="e">
        <f t="shared" si="4"/>
        <v>#DIV/0!</v>
      </c>
      <c r="S20" s="123" t="e">
        <f t="shared" si="5"/>
        <v>#DIV/0!</v>
      </c>
      <c r="T20" s="1343"/>
      <c r="U20" s="119">
        <f t="shared" si="6"/>
        <v>10818.262</v>
      </c>
      <c r="V20" s="121">
        <v>23374278</v>
      </c>
      <c r="W20" s="120">
        <f t="shared" si="7"/>
        <v>8.791</v>
      </c>
      <c r="X20" s="119">
        <f t="shared" si="8"/>
        <v>2.26</v>
      </c>
      <c r="Y20" s="118">
        <f t="shared" si="9"/>
        <v>0</v>
      </c>
      <c r="Z20" s="117">
        <f t="shared" si="10"/>
        <v>-23374278</v>
      </c>
      <c r="AA20" s="116" t="e">
        <f t="shared" si="11"/>
        <v>#DIV/0!</v>
      </c>
      <c r="AB20" s="135"/>
      <c r="AC20" s="107"/>
      <c r="AD20" s="107"/>
    </row>
    <row r="21" spans="1:30" ht="15">
      <c r="A21" s="160"/>
      <c r="B21" s="159"/>
      <c r="C21" s="132" t="s">
        <v>1187</v>
      </c>
      <c r="D21" s="158"/>
      <c r="E21" s="158"/>
      <c r="F21" s="131">
        <f t="shared" si="0"/>
        <v>2.29</v>
      </c>
      <c r="G21" s="127">
        <f t="shared" si="1"/>
        <v>178128</v>
      </c>
      <c r="H21" s="130">
        <f t="shared" si="2"/>
        <v>2.62</v>
      </c>
      <c r="I21" s="127">
        <f t="shared" si="3"/>
        <v>6056352</v>
      </c>
      <c r="J21" s="148"/>
      <c r="K21" s="148"/>
      <c r="L21" s="138">
        <f>L19+L20</f>
        <v>5292590</v>
      </c>
      <c r="M21" s="138">
        <f>M19+M20</f>
        <v>57203370934.46</v>
      </c>
      <c r="N21" s="151"/>
      <c r="O21" s="157">
        <v>18818670</v>
      </c>
      <c r="P21" s="125">
        <v>1005870</v>
      </c>
      <c r="Q21" s="156">
        <v>17812800</v>
      </c>
      <c r="R21" s="124">
        <f t="shared" si="4"/>
        <v>5.345064236739366</v>
      </c>
      <c r="S21" s="123">
        <f t="shared" si="5"/>
        <v>3039.71</v>
      </c>
      <c r="T21" s="146"/>
      <c r="U21" s="119">
        <f t="shared" si="6"/>
        <v>10808.199942648118</v>
      </c>
      <c r="V21" s="121">
        <f>V19+V20</f>
        <v>46909257</v>
      </c>
      <c r="W21" s="120">
        <f t="shared" si="7"/>
        <v>8.863</v>
      </c>
      <c r="X21" s="119">
        <f t="shared" si="8"/>
        <v>2.28</v>
      </c>
      <c r="Y21" s="118">
        <f t="shared" si="9"/>
        <v>40613184</v>
      </c>
      <c r="Z21" s="117">
        <f t="shared" si="10"/>
        <v>-6296073</v>
      </c>
      <c r="AA21" s="116">
        <f t="shared" si="11"/>
        <v>80.42166666666667</v>
      </c>
      <c r="AB21" s="135">
        <v>30</v>
      </c>
      <c r="AC21" s="107">
        <v>74875740</v>
      </c>
      <c r="AD21" s="107">
        <v>25996175</v>
      </c>
    </row>
    <row r="22" spans="1:30" ht="15">
      <c r="A22" s="155">
        <v>7</v>
      </c>
      <c r="B22" s="154" t="s">
        <v>1195</v>
      </c>
      <c r="C22" s="132" t="s">
        <v>1189</v>
      </c>
      <c r="D22" s="153">
        <v>10823.268</v>
      </c>
      <c r="E22" s="153">
        <v>0</v>
      </c>
      <c r="F22" s="131" t="e">
        <f t="shared" si="0"/>
        <v>#DIV/0!</v>
      </c>
      <c r="G22" s="127" t="e">
        <f t="shared" si="1"/>
        <v>#DIV/0!</v>
      </c>
      <c r="H22" s="130" t="e">
        <f t="shared" si="2"/>
        <v>#DIV/0!</v>
      </c>
      <c r="I22" s="127" t="e">
        <f t="shared" si="3"/>
        <v>#DIV/0!</v>
      </c>
      <c r="J22" s="153">
        <v>2566705</v>
      </c>
      <c r="K22" s="153"/>
      <c r="L22" s="138">
        <f>J22+K22</f>
        <v>2566705</v>
      </c>
      <c r="M22" s="138">
        <f>D22*J22+E22*K22</f>
        <v>27780136091.94</v>
      </c>
      <c r="N22" s="149"/>
      <c r="O22" s="148"/>
      <c r="P22" s="125"/>
      <c r="Q22" s="148"/>
      <c r="R22" s="124" t="e">
        <f t="shared" si="4"/>
        <v>#DIV/0!</v>
      </c>
      <c r="S22" s="123" t="e">
        <f t="shared" si="5"/>
        <v>#DIV/0!</v>
      </c>
      <c r="T22" s="146"/>
      <c r="U22" s="119">
        <f t="shared" si="6"/>
        <v>10823.268</v>
      </c>
      <c r="V22" s="121">
        <v>17508912</v>
      </c>
      <c r="W22" s="120">
        <f t="shared" si="7"/>
        <v>6.822</v>
      </c>
      <c r="X22" s="119">
        <f t="shared" si="8"/>
        <v>1.76</v>
      </c>
      <c r="Y22" s="118">
        <f t="shared" si="9"/>
        <v>0</v>
      </c>
      <c r="Z22" s="117">
        <f t="shared" si="10"/>
        <v>-17508912</v>
      </c>
      <c r="AA22" s="116" t="e">
        <f t="shared" si="11"/>
        <v>#DIV/0!</v>
      </c>
      <c r="AB22" s="135"/>
      <c r="AC22" s="107"/>
      <c r="AD22" s="107"/>
    </row>
    <row r="23" spans="1:30" ht="15">
      <c r="A23" s="1344"/>
      <c r="B23" s="1345"/>
      <c r="C23" s="132" t="s">
        <v>1188</v>
      </c>
      <c r="D23" s="153">
        <v>10831.202</v>
      </c>
      <c r="E23" s="153">
        <v>0</v>
      </c>
      <c r="F23" s="131" t="e">
        <f t="shared" si="0"/>
        <v>#DIV/0!</v>
      </c>
      <c r="G23" s="127" t="e">
        <f t="shared" si="1"/>
        <v>#DIV/0!</v>
      </c>
      <c r="H23" s="130" t="e">
        <f t="shared" si="2"/>
        <v>#DIV/0!</v>
      </c>
      <c r="I23" s="127" t="e">
        <f t="shared" si="3"/>
        <v>#DIV/0!</v>
      </c>
      <c r="J23" s="153">
        <v>2785160</v>
      </c>
      <c r="K23" s="153"/>
      <c r="L23" s="138">
        <f>J23+K23</f>
        <v>2785160</v>
      </c>
      <c r="M23" s="138">
        <f>D23*J23+E23*K23</f>
        <v>30166630562.32</v>
      </c>
      <c r="N23" s="151"/>
      <c r="O23" s="135"/>
      <c r="P23" s="125"/>
      <c r="Q23" s="152"/>
      <c r="R23" s="124" t="e">
        <f t="shared" si="4"/>
        <v>#DIV/0!</v>
      </c>
      <c r="S23" s="123" t="e">
        <f t="shared" si="5"/>
        <v>#DIV/0!</v>
      </c>
      <c r="T23" s="1343"/>
      <c r="U23" s="119">
        <f t="shared" si="6"/>
        <v>10831.202</v>
      </c>
      <c r="V23" s="121">
        <v>19013052</v>
      </c>
      <c r="W23" s="120">
        <f t="shared" si="7"/>
        <v>6.827</v>
      </c>
      <c r="X23" s="119">
        <f t="shared" si="8"/>
        <v>1.76</v>
      </c>
      <c r="Y23" s="118">
        <f t="shared" si="9"/>
        <v>0</v>
      </c>
      <c r="Z23" s="117">
        <f t="shared" si="10"/>
        <v>-19013052</v>
      </c>
      <c r="AA23" s="116" t="e">
        <f t="shared" si="11"/>
        <v>#DIV/0!</v>
      </c>
      <c r="AB23" s="135"/>
      <c r="AC23" s="107"/>
      <c r="AD23" s="107"/>
    </row>
    <row r="24" spans="1:30" ht="15">
      <c r="A24" s="1344"/>
      <c r="B24" s="1345"/>
      <c r="C24" s="132" t="s">
        <v>1187</v>
      </c>
      <c r="D24" s="148"/>
      <c r="E24" s="148"/>
      <c r="F24" s="131">
        <f t="shared" si="0"/>
        <v>1.76</v>
      </c>
      <c r="G24" s="127">
        <f t="shared" si="1"/>
        <v>0</v>
      </c>
      <c r="H24" s="130">
        <f t="shared" si="2"/>
        <v>1.77</v>
      </c>
      <c r="I24" s="127">
        <f t="shared" si="3"/>
        <v>205380</v>
      </c>
      <c r="J24" s="148"/>
      <c r="K24" s="148"/>
      <c r="L24" s="138">
        <f>L22+L23</f>
        <v>5351865</v>
      </c>
      <c r="M24" s="138">
        <f>M22+M23</f>
        <v>57946766654.259995</v>
      </c>
      <c r="N24" s="151"/>
      <c r="O24" s="117">
        <v>21685530</v>
      </c>
      <c r="P24" s="125">
        <v>1147530</v>
      </c>
      <c r="Q24" s="150">
        <v>20538000</v>
      </c>
      <c r="R24" s="124">
        <f t="shared" si="4"/>
        <v>5.291685285072581</v>
      </c>
      <c r="S24" s="123">
        <f t="shared" si="5"/>
        <v>2672.14</v>
      </c>
      <c r="T24" s="1343"/>
      <c r="U24" s="119">
        <f t="shared" si="6"/>
        <v>10827.396926914262</v>
      </c>
      <c r="V24" s="121">
        <v>36521964</v>
      </c>
      <c r="W24" s="120">
        <f t="shared" si="7"/>
        <v>6.824</v>
      </c>
      <c r="X24" s="119">
        <f t="shared" si="8"/>
        <v>1.76</v>
      </c>
      <c r="Y24" s="118">
        <f t="shared" si="9"/>
        <v>36146880</v>
      </c>
      <c r="Z24" s="117">
        <f t="shared" si="10"/>
        <v>-375084</v>
      </c>
      <c r="AA24" s="116">
        <f t="shared" si="11"/>
        <v>89.68374689826302</v>
      </c>
      <c r="AB24" s="135">
        <v>31</v>
      </c>
      <c r="AC24" s="107">
        <v>73505301</v>
      </c>
      <c r="AD24" s="107">
        <v>29092041</v>
      </c>
    </row>
    <row r="25" spans="1:28" ht="15">
      <c r="A25" s="134">
        <v>8</v>
      </c>
      <c r="B25" s="133" t="s">
        <v>1194</v>
      </c>
      <c r="C25" s="132" t="s">
        <v>1189</v>
      </c>
      <c r="D25" s="148">
        <v>10800</v>
      </c>
      <c r="E25" s="148">
        <v>0</v>
      </c>
      <c r="F25" s="131" t="e">
        <f t="shared" si="0"/>
        <v>#DIV/0!</v>
      </c>
      <c r="G25" s="127" t="e">
        <f t="shared" si="1"/>
        <v>#DIV/0!</v>
      </c>
      <c r="H25" s="130" t="e">
        <f t="shared" si="2"/>
        <v>#DIV/0!</v>
      </c>
      <c r="I25" s="127" t="e">
        <f t="shared" si="3"/>
        <v>#DIV/0!</v>
      </c>
      <c r="J25" s="148">
        <v>2482683</v>
      </c>
      <c r="K25" s="148"/>
      <c r="L25" s="138">
        <f>J25+K25</f>
        <v>2482683</v>
      </c>
      <c r="M25" s="138">
        <f>D25*J25+E25*K25</f>
        <v>26812976400</v>
      </c>
      <c r="N25" s="149"/>
      <c r="O25" s="148"/>
      <c r="P25" s="125"/>
      <c r="Q25" s="147"/>
      <c r="R25" s="124" t="e">
        <f t="shared" si="4"/>
        <v>#DIV/0!</v>
      </c>
      <c r="S25" s="123" t="e">
        <f t="shared" si="5"/>
        <v>#DIV/0!</v>
      </c>
      <c r="T25" s="146"/>
      <c r="U25" s="119">
        <f t="shared" si="6"/>
        <v>10800</v>
      </c>
      <c r="V25" s="121"/>
      <c r="W25" s="120">
        <f t="shared" si="7"/>
        <v>0</v>
      </c>
      <c r="X25" s="119">
        <f t="shared" si="8"/>
        <v>0</v>
      </c>
      <c r="Y25" s="118">
        <f t="shared" si="9"/>
        <v>0</v>
      </c>
      <c r="Z25" s="117">
        <f t="shared" si="10"/>
        <v>0</v>
      </c>
      <c r="AA25" s="116" t="e">
        <f t="shared" si="11"/>
        <v>#DIV/0!</v>
      </c>
      <c r="AB25" s="135">
        <v>0</v>
      </c>
    </row>
    <row r="26" spans="1:28" ht="15">
      <c r="A26" s="134"/>
      <c r="B26" s="1336"/>
      <c r="C26" s="132" t="s">
        <v>1188</v>
      </c>
      <c r="D26" s="127">
        <v>10800</v>
      </c>
      <c r="E26" s="127">
        <v>0</v>
      </c>
      <c r="F26" s="131" t="e">
        <f t="shared" si="0"/>
        <v>#DIV/0!</v>
      </c>
      <c r="G26" s="127" t="e">
        <f t="shared" si="1"/>
        <v>#DIV/0!</v>
      </c>
      <c r="H26" s="130" t="e">
        <f t="shared" si="2"/>
        <v>#DIV/0!</v>
      </c>
      <c r="I26" s="127" t="e">
        <f t="shared" si="3"/>
        <v>#DIV/0!</v>
      </c>
      <c r="J26" s="127">
        <v>2482683</v>
      </c>
      <c r="K26" s="127"/>
      <c r="L26" s="138">
        <f>J26+K26</f>
        <v>2482683</v>
      </c>
      <c r="M26" s="138">
        <f>D26*J26+E26*K26</f>
        <v>26812976400</v>
      </c>
      <c r="N26" s="128"/>
      <c r="O26" s="127"/>
      <c r="P26" s="125"/>
      <c r="Q26" s="145"/>
      <c r="R26" s="124" t="e">
        <f t="shared" si="4"/>
        <v>#DIV/0!</v>
      </c>
      <c r="S26" s="123" t="e">
        <f t="shared" si="5"/>
        <v>#DIV/0!</v>
      </c>
      <c r="T26" s="142"/>
      <c r="U26" s="119">
        <f t="shared" si="6"/>
        <v>10800</v>
      </c>
      <c r="V26" s="121"/>
      <c r="W26" s="120">
        <f t="shared" si="7"/>
        <v>0</v>
      </c>
      <c r="X26" s="119">
        <f t="shared" si="8"/>
        <v>0</v>
      </c>
      <c r="Y26" s="118">
        <f t="shared" si="9"/>
        <v>0</v>
      </c>
      <c r="Z26" s="117">
        <f t="shared" si="10"/>
        <v>0</v>
      </c>
      <c r="AA26" s="116" t="e">
        <f t="shared" si="11"/>
        <v>#DIV/0!</v>
      </c>
      <c r="AB26" s="135">
        <v>0</v>
      </c>
    </row>
    <row r="27" spans="1:31" ht="15">
      <c r="A27" s="134"/>
      <c r="B27" s="1338"/>
      <c r="C27" s="132" t="s">
        <v>1187</v>
      </c>
      <c r="D27" s="129"/>
      <c r="E27" s="129"/>
      <c r="F27" s="131">
        <f t="shared" si="0"/>
        <v>1.81</v>
      </c>
      <c r="G27" s="127">
        <f t="shared" si="1"/>
        <v>192383.1000000015</v>
      </c>
      <c r="H27" s="130">
        <f t="shared" si="2"/>
        <v>1.8</v>
      </c>
      <c r="I27" s="127">
        <f t="shared" si="3"/>
        <v>0</v>
      </c>
      <c r="J27" s="127"/>
      <c r="K27" s="127"/>
      <c r="L27" s="138">
        <v>5089500</v>
      </c>
      <c r="M27" s="138">
        <f>M25+M26</f>
        <v>53625952800</v>
      </c>
      <c r="N27" s="128"/>
      <c r="O27" s="128">
        <v>20358000</v>
      </c>
      <c r="P27" s="125">
        <v>1119690</v>
      </c>
      <c r="Q27" s="128">
        <v>19238310</v>
      </c>
      <c r="R27" s="124">
        <f t="shared" si="4"/>
        <v>5.5</v>
      </c>
      <c r="S27" s="123">
        <f t="shared" si="5"/>
        <v>2634.15</v>
      </c>
      <c r="T27" s="142"/>
      <c r="U27" s="119">
        <f t="shared" si="6"/>
        <v>10536.585676392573</v>
      </c>
      <c r="V27" s="121">
        <f aca="true" t="shared" si="12" ref="V27:V39">L27*6.824</f>
        <v>34730748</v>
      </c>
      <c r="W27" s="120">
        <f t="shared" si="7"/>
        <v>6.824</v>
      </c>
      <c r="X27" s="119">
        <f t="shared" si="8"/>
        <v>1.8</v>
      </c>
      <c r="Y27" s="118">
        <f t="shared" si="9"/>
        <v>34628958</v>
      </c>
      <c r="Z27" s="117">
        <f t="shared" si="10"/>
        <v>-101790</v>
      </c>
      <c r="AA27" s="116">
        <f t="shared" si="11"/>
        <v>87</v>
      </c>
      <c r="AB27" s="135">
        <v>30</v>
      </c>
      <c r="AD27" s="107">
        <v>29365205</v>
      </c>
      <c r="AE27" s="114">
        <f>SUM(O4:O27)/((SUM(AB4:AB27)*780000))</f>
        <v>0.8385326817990753</v>
      </c>
    </row>
    <row r="28" spans="1:31" ht="15">
      <c r="A28" s="1344">
        <v>9</v>
      </c>
      <c r="B28" s="1345" t="s">
        <v>1193</v>
      </c>
      <c r="C28" s="132" t="s">
        <v>1189</v>
      </c>
      <c r="D28" s="127">
        <v>10800</v>
      </c>
      <c r="E28" s="127">
        <v>0</v>
      </c>
      <c r="F28" s="131" t="e">
        <f t="shared" si="0"/>
        <v>#DIV/0!</v>
      </c>
      <c r="G28" s="127" t="e">
        <f t="shared" si="1"/>
        <v>#DIV/0!</v>
      </c>
      <c r="H28" s="130" t="e">
        <f t="shared" si="2"/>
        <v>#DIV/0!</v>
      </c>
      <c r="I28" s="127" t="e">
        <f t="shared" si="3"/>
        <v>#DIV/0!</v>
      </c>
      <c r="J28" s="129">
        <v>2565439</v>
      </c>
      <c r="K28" s="129"/>
      <c r="L28" s="127">
        <f>J28+K28</f>
        <v>2565439</v>
      </c>
      <c r="M28" s="138">
        <f>D28*J28+E28*K28</f>
        <v>27706741200</v>
      </c>
      <c r="N28" s="126"/>
      <c r="O28" s="115"/>
      <c r="P28" s="125"/>
      <c r="Q28" s="136"/>
      <c r="R28" s="124" t="e">
        <f t="shared" si="4"/>
        <v>#DIV/0!</v>
      </c>
      <c r="S28" s="123" t="e">
        <f t="shared" si="5"/>
        <v>#DIV/0!</v>
      </c>
      <c r="T28" s="1346"/>
      <c r="U28" s="119">
        <f t="shared" si="6"/>
        <v>10800</v>
      </c>
      <c r="V28" s="121">
        <f t="shared" si="12"/>
        <v>17506555.736</v>
      </c>
      <c r="W28" s="120">
        <f t="shared" si="7"/>
        <v>6.824</v>
      </c>
      <c r="X28" s="119">
        <f t="shared" si="8"/>
        <v>1.76</v>
      </c>
      <c r="Y28" s="118">
        <f t="shared" si="9"/>
        <v>0</v>
      </c>
      <c r="Z28" s="117">
        <f t="shared" si="10"/>
        <v>-17506555.736</v>
      </c>
      <c r="AA28" s="116" t="e">
        <f t="shared" si="11"/>
        <v>#DIV/0!</v>
      </c>
      <c r="AB28" s="135">
        <v>0</v>
      </c>
      <c r="AD28" s="107"/>
      <c r="AE28" s="114"/>
    </row>
    <row r="29" spans="1:31" ht="15">
      <c r="A29" s="1344"/>
      <c r="B29" s="1345"/>
      <c r="C29" s="132" t="s">
        <v>1188</v>
      </c>
      <c r="D29" s="129">
        <v>10800</v>
      </c>
      <c r="E29" s="129">
        <v>0</v>
      </c>
      <c r="F29" s="131" t="e">
        <f t="shared" si="0"/>
        <v>#DIV/0!</v>
      </c>
      <c r="G29" s="127" t="e">
        <f t="shared" si="1"/>
        <v>#DIV/0!</v>
      </c>
      <c r="H29" s="130" t="e">
        <f t="shared" si="2"/>
        <v>#DIV/0!</v>
      </c>
      <c r="I29" s="127" t="e">
        <f t="shared" si="3"/>
        <v>#DIV/0!</v>
      </c>
      <c r="J29" s="129">
        <v>2565439</v>
      </c>
      <c r="K29" s="129"/>
      <c r="L29" s="127">
        <f>J29+K29</f>
        <v>2565439</v>
      </c>
      <c r="M29" s="138">
        <f>D29*J29+E29*K29</f>
        <v>27706741200</v>
      </c>
      <c r="N29" s="126"/>
      <c r="O29" s="115"/>
      <c r="P29" s="125"/>
      <c r="Q29" s="144"/>
      <c r="R29" s="124" t="e">
        <f t="shared" si="4"/>
        <v>#DIV/0!</v>
      </c>
      <c r="S29" s="123" t="e">
        <f t="shared" si="5"/>
        <v>#DIV/0!</v>
      </c>
      <c r="T29" s="1346"/>
      <c r="U29" s="119">
        <f t="shared" si="6"/>
        <v>10800</v>
      </c>
      <c r="V29" s="121">
        <f t="shared" si="12"/>
        <v>17506555.736</v>
      </c>
      <c r="W29" s="120">
        <f t="shared" si="7"/>
        <v>6.824</v>
      </c>
      <c r="X29" s="119">
        <f t="shared" si="8"/>
        <v>1.76</v>
      </c>
      <c r="Y29" s="118">
        <f t="shared" si="9"/>
        <v>0</v>
      </c>
      <c r="Z29" s="117">
        <f t="shared" si="10"/>
        <v>-17506555.736</v>
      </c>
      <c r="AA29" s="116" t="e">
        <f t="shared" si="11"/>
        <v>#DIV/0!</v>
      </c>
      <c r="AB29" s="135">
        <v>0</v>
      </c>
      <c r="AD29" s="107"/>
      <c r="AE29" s="114"/>
    </row>
    <row r="30" spans="1:31" ht="15">
      <c r="A30" s="134"/>
      <c r="B30" s="133"/>
      <c r="C30" s="132" t="s">
        <v>1187</v>
      </c>
      <c r="D30" s="129"/>
      <c r="E30" s="129"/>
      <c r="F30" s="131">
        <f t="shared" si="0"/>
        <v>1.77</v>
      </c>
      <c r="G30" s="127">
        <f t="shared" si="1"/>
        <v>198795.87000000477</v>
      </c>
      <c r="H30" s="130">
        <f t="shared" si="2"/>
        <v>1.75</v>
      </c>
      <c r="I30" s="127">
        <f t="shared" si="3"/>
        <v>-198795.86999999732</v>
      </c>
      <c r="J30" s="129"/>
      <c r="K30" s="129"/>
      <c r="L30" s="128">
        <f>L28+L29</f>
        <v>5130878</v>
      </c>
      <c r="M30" s="127">
        <f>M28+M29</f>
        <v>55413482400</v>
      </c>
      <c r="N30" s="128"/>
      <c r="O30" s="128">
        <v>21036600</v>
      </c>
      <c r="P30" s="125">
        <v>1157013</v>
      </c>
      <c r="Q30" s="128">
        <v>19879587</v>
      </c>
      <c r="R30" s="124">
        <f t="shared" si="4"/>
        <v>5.5</v>
      </c>
      <c r="S30" s="123">
        <f t="shared" si="5"/>
        <v>2634.15</v>
      </c>
      <c r="T30" s="142"/>
      <c r="U30" s="119">
        <f t="shared" si="6"/>
        <v>10800</v>
      </c>
      <c r="V30" s="121">
        <f t="shared" si="12"/>
        <v>35013111.472</v>
      </c>
      <c r="W30" s="120">
        <f t="shared" si="7"/>
        <v>6.824</v>
      </c>
      <c r="X30" s="119">
        <f t="shared" si="8"/>
        <v>1.76</v>
      </c>
      <c r="Y30" s="118">
        <f t="shared" si="9"/>
        <v>34988073.12</v>
      </c>
      <c r="Z30" s="117">
        <f t="shared" si="10"/>
        <v>-25038.352000005543</v>
      </c>
      <c r="AA30" s="116">
        <f t="shared" si="11"/>
        <v>87</v>
      </c>
      <c r="AB30" s="135">
        <v>31</v>
      </c>
      <c r="AD30" s="107">
        <v>27316466</v>
      </c>
      <c r="AE30" s="114">
        <f>SUM(O4:O30)/((SUM(AB4:AB30)*780000))</f>
        <v>0.8420799067599067</v>
      </c>
    </row>
    <row r="31" spans="1:31" ht="15">
      <c r="A31" s="1344">
        <v>10</v>
      </c>
      <c r="B31" s="1345" t="s">
        <v>1192</v>
      </c>
      <c r="C31" s="132" t="s">
        <v>1189</v>
      </c>
      <c r="D31" s="129">
        <v>10800</v>
      </c>
      <c r="E31" s="129">
        <v>0</v>
      </c>
      <c r="F31" s="131" t="e">
        <f t="shared" si="0"/>
        <v>#DIV/0!</v>
      </c>
      <c r="G31" s="127" t="e">
        <f t="shared" si="1"/>
        <v>#DIV/0!</v>
      </c>
      <c r="H31" s="130" t="e">
        <f t="shared" si="2"/>
        <v>#DIV/0!</v>
      </c>
      <c r="I31" s="127" t="e">
        <f t="shared" si="3"/>
        <v>#DIV/0!</v>
      </c>
      <c r="J31" s="129"/>
      <c r="K31" s="129"/>
      <c r="L31" s="127">
        <f>J31+K31</f>
        <v>0</v>
      </c>
      <c r="M31" s="138">
        <f>D31*J31+E31*K31</f>
        <v>0</v>
      </c>
      <c r="N31" s="126"/>
      <c r="O31" s="115"/>
      <c r="P31" s="125"/>
      <c r="Q31" s="136"/>
      <c r="R31" s="124" t="e">
        <f t="shared" si="4"/>
        <v>#DIV/0!</v>
      </c>
      <c r="S31" s="123" t="e">
        <f t="shared" si="5"/>
        <v>#DIV/0!</v>
      </c>
      <c r="T31" s="1346"/>
      <c r="U31" s="119" t="e">
        <f t="shared" si="6"/>
        <v>#DIV/0!</v>
      </c>
      <c r="V31" s="121">
        <f t="shared" si="12"/>
        <v>0</v>
      </c>
      <c r="W31" s="120" t="e">
        <f t="shared" si="7"/>
        <v>#DIV/0!</v>
      </c>
      <c r="X31" s="119" t="e">
        <f t="shared" si="8"/>
        <v>#DIV/0!</v>
      </c>
      <c r="Y31" s="118"/>
      <c r="Z31" s="117">
        <f t="shared" si="10"/>
        <v>0</v>
      </c>
      <c r="AA31" s="116" t="e">
        <f t="shared" si="11"/>
        <v>#DIV/0!</v>
      </c>
      <c r="AB31" s="135">
        <v>0</v>
      </c>
      <c r="AD31" s="107"/>
      <c r="AE31" s="114"/>
    </row>
    <row r="32" spans="1:31" ht="15">
      <c r="A32" s="1344"/>
      <c r="B32" s="1345"/>
      <c r="C32" s="132" t="s">
        <v>1188</v>
      </c>
      <c r="D32" s="143">
        <v>10800</v>
      </c>
      <c r="E32" s="143"/>
      <c r="F32" s="131" t="e">
        <f t="shared" si="0"/>
        <v>#DIV/0!</v>
      </c>
      <c r="G32" s="127" t="e">
        <f t="shared" si="1"/>
        <v>#DIV/0!</v>
      </c>
      <c r="H32" s="130" t="e">
        <f t="shared" si="2"/>
        <v>#DIV/0!</v>
      </c>
      <c r="I32" s="127" t="e">
        <f t="shared" si="3"/>
        <v>#DIV/0!</v>
      </c>
      <c r="J32" s="129">
        <v>2648196</v>
      </c>
      <c r="K32" s="129"/>
      <c r="L32" s="127">
        <f>J32+K32</f>
        <v>2648196</v>
      </c>
      <c r="M32" s="138">
        <f>D32*J32+E32*K32</f>
        <v>28600516800</v>
      </c>
      <c r="N32" s="126"/>
      <c r="O32" s="115"/>
      <c r="P32" s="125"/>
      <c r="Q32" s="144"/>
      <c r="R32" s="124" t="e">
        <f t="shared" si="4"/>
        <v>#DIV/0!</v>
      </c>
      <c r="S32" s="123" t="e">
        <f t="shared" si="5"/>
        <v>#DIV/0!</v>
      </c>
      <c r="T32" s="1346"/>
      <c r="U32" s="119">
        <f t="shared" si="6"/>
        <v>10800</v>
      </c>
      <c r="V32" s="121">
        <f t="shared" si="12"/>
        <v>18071289.504</v>
      </c>
      <c r="W32" s="120">
        <f t="shared" si="7"/>
        <v>6.824</v>
      </c>
      <c r="X32" s="119">
        <f t="shared" si="8"/>
        <v>1.76</v>
      </c>
      <c r="Y32" s="118">
        <f aca="true" t="shared" si="13" ref="Y32:Y39">X32*Q32</f>
        <v>0</v>
      </c>
      <c r="Z32" s="117">
        <f t="shared" si="10"/>
        <v>-18071289.504</v>
      </c>
      <c r="AA32" s="116" t="e">
        <f t="shared" si="11"/>
        <v>#DIV/0!</v>
      </c>
      <c r="AB32" s="135">
        <v>0</v>
      </c>
      <c r="AD32" s="107"/>
      <c r="AE32" s="114"/>
    </row>
    <row r="33" spans="1:31" ht="15">
      <c r="A33" s="134"/>
      <c r="B33" s="133"/>
      <c r="C33" s="132" t="s">
        <v>1187</v>
      </c>
      <c r="D33" s="143"/>
      <c r="E33" s="143"/>
      <c r="F33" s="131"/>
      <c r="G33" s="127">
        <f t="shared" si="1"/>
        <v>-18058360.32</v>
      </c>
      <c r="H33" s="130">
        <f t="shared" si="2"/>
        <v>1.75</v>
      </c>
      <c r="I33" s="127">
        <f t="shared" si="3"/>
        <v>-102604.3200000003</v>
      </c>
      <c r="J33" s="129"/>
      <c r="K33" s="129"/>
      <c r="L33" s="128">
        <f>L31+L32</f>
        <v>2648196</v>
      </c>
      <c r="M33" s="127">
        <f>M31+M32</f>
        <v>28600516800</v>
      </c>
      <c r="N33" s="128"/>
      <c r="O33" s="128">
        <v>10857600</v>
      </c>
      <c r="P33" s="125">
        <v>597168</v>
      </c>
      <c r="Q33" s="128">
        <v>10260432</v>
      </c>
      <c r="R33" s="124">
        <f t="shared" si="4"/>
        <v>5.5</v>
      </c>
      <c r="S33" s="123">
        <f t="shared" si="5"/>
        <v>2634.15</v>
      </c>
      <c r="T33" s="142"/>
      <c r="U33" s="119">
        <f t="shared" si="6"/>
        <v>10800</v>
      </c>
      <c r="V33" s="121">
        <f t="shared" si="12"/>
        <v>18071289.504</v>
      </c>
      <c r="W33" s="120">
        <f t="shared" si="7"/>
        <v>6.824</v>
      </c>
      <c r="X33" s="119">
        <f t="shared" si="8"/>
        <v>1.76</v>
      </c>
      <c r="Y33" s="118">
        <f t="shared" si="13"/>
        <v>18058360.32</v>
      </c>
      <c r="Z33" s="117">
        <f t="shared" si="10"/>
        <v>-12929.184000000358</v>
      </c>
      <c r="AA33" s="116">
        <f t="shared" si="11"/>
        <v>44.903225806451616</v>
      </c>
      <c r="AB33" s="135">
        <v>31</v>
      </c>
      <c r="AD33" s="107">
        <v>14308632</v>
      </c>
      <c r="AE33" s="114">
        <f>SUM(O4:O33)/((SUM(AB4:AB33)*780000))</f>
        <v>0.8022613541142953</v>
      </c>
    </row>
    <row r="34" spans="1:31" ht="15">
      <c r="A34" s="1344">
        <v>11</v>
      </c>
      <c r="B34" s="1345" t="s">
        <v>1191</v>
      </c>
      <c r="C34" s="132" t="s">
        <v>1189</v>
      </c>
      <c r="D34" s="129">
        <v>10800</v>
      </c>
      <c r="E34" s="129">
        <v>0</v>
      </c>
      <c r="F34" s="131"/>
      <c r="G34" s="127">
        <f t="shared" si="1"/>
        <v>0</v>
      </c>
      <c r="H34" s="130" t="e">
        <f t="shared" si="2"/>
        <v>#DIV/0!</v>
      </c>
      <c r="I34" s="127" t="e">
        <f t="shared" si="3"/>
        <v>#DIV/0!</v>
      </c>
      <c r="J34" s="129">
        <v>2317171</v>
      </c>
      <c r="K34" s="129"/>
      <c r="L34" s="127">
        <f>J34+K34</f>
        <v>2317171</v>
      </c>
      <c r="M34" s="138">
        <f>D34*J34+E34*K34</f>
        <v>25025446800</v>
      </c>
      <c r="N34" s="126"/>
      <c r="O34" s="115"/>
      <c r="P34" s="125"/>
      <c r="Q34" s="136"/>
      <c r="R34" s="124" t="e">
        <f t="shared" si="4"/>
        <v>#DIV/0!</v>
      </c>
      <c r="S34" s="123" t="e">
        <f t="shared" si="5"/>
        <v>#DIV/0!</v>
      </c>
      <c r="T34" s="1346"/>
      <c r="U34" s="119">
        <f t="shared" si="6"/>
        <v>10800</v>
      </c>
      <c r="V34" s="121">
        <f t="shared" si="12"/>
        <v>15812374.904</v>
      </c>
      <c r="W34" s="120">
        <f t="shared" si="7"/>
        <v>6.824</v>
      </c>
      <c r="X34" s="119">
        <f t="shared" si="8"/>
        <v>1.76</v>
      </c>
      <c r="Y34" s="118">
        <f t="shared" si="13"/>
        <v>0</v>
      </c>
      <c r="Z34" s="117">
        <f t="shared" si="10"/>
        <v>-15812374.904</v>
      </c>
      <c r="AA34" s="116" t="e">
        <f t="shared" si="11"/>
        <v>#DIV/0!</v>
      </c>
      <c r="AB34" s="135">
        <v>0</v>
      </c>
      <c r="AD34" s="107"/>
      <c r="AE34" s="114"/>
    </row>
    <row r="35" spans="1:31" ht="15">
      <c r="A35" s="1344"/>
      <c r="B35" s="1345"/>
      <c r="C35" s="132" t="s">
        <v>1188</v>
      </c>
      <c r="D35" s="129">
        <v>10800</v>
      </c>
      <c r="E35" s="129">
        <v>0</v>
      </c>
      <c r="F35" s="131"/>
      <c r="G35" s="127">
        <f t="shared" si="1"/>
        <v>0</v>
      </c>
      <c r="H35" s="130" t="e">
        <f t="shared" si="2"/>
        <v>#DIV/0!</v>
      </c>
      <c r="I35" s="127" t="e">
        <f t="shared" si="3"/>
        <v>#DIV/0!</v>
      </c>
      <c r="J35" s="129">
        <v>2317171</v>
      </c>
      <c r="K35" s="129"/>
      <c r="L35" s="127">
        <f>J35+K35</f>
        <v>2317171</v>
      </c>
      <c r="M35" s="138">
        <f>D35*J35+E35*K35</f>
        <v>25025446800</v>
      </c>
      <c r="N35" s="126"/>
      <c r="O35" s="115"/>
      <c r="P35" s="125"/>
      <c r="Q35" s="136"/>
      <c r="R35" s="124" t="e">
        <f t="shared" si="4"/>
        <v>#DIV/0!</v>
      </c>
      <c r="S35" s="123" t="e">
        <f t="shared" si="5"/>
        <v>#DIV/0!</v>
      </c>
      <c r="T35" s="1346"/>
      <c r="U35" s="119">
        <f t="shared" si="6"/>
        <v>10800</v>
      </c>
      <c r="V35" s="121">
        <f t="shared" si="12"/>
        <v>15812374.904</v>
      </c>
      <c r="W35" s="120">
        <f t="shared" si="7"/>
        <v>6.824</v>
      </c>
      <c r="X35" s="119">
        <f t="shared" si="8"/>
        <v>1.76</v>
      </c>
      <c r="Y35" s="118">
        <f t="shared" si="13"/>
        <v>0</v>
      </c>
      <c r="Z35" s="117">
        <f t="shared" si="10"/>
        <v>-15812374.904</v>
      </c>
      <c r="AA35" s="116" t="e">
        <f t="shared" si="11"/>
        <v>#DIV/0!</v>
      </c>
      <c r="AB35" s="135">
        <v>0</v>
      </c>
      <c r="AD35" s="107"/>
      <c r="AE35" s="114"/>
    </row>
    <row r="36" spans="1:31" ht="15">
      <c r="A36" s="134"/>
      <c r="B36" s="133"/>
      <c r="C36" s="132" t="s">
        <v>1187</v>
      </c>
      <c r="D36" s="129"/>
      <c r="E36" s="129"/>
      <c r="F36" s="131"/>
      <c r="G36" s="127">
        <f t="shared" si="1"/>
        <v>-31602130.56</v>
      </c>
      <c r="H36" s="130">
        <f t="shared" si="2"/>
        <v>1.75</v>
      </c>
      <c r="I36" s="127">
        <f t="shared" si="3"/>
        <v>-179557.55999999866</v>
      </c>
      <c r="J36" s="129"/>
      <c r="K36" s="129"/>
      <c r="L36" s="128">
        <f>L34+L35</f>
        <v>4634342</v>
      </c>
      <c r="M36" s="127">
        <f>M34+M35</f>
        <v>50050893600</v>
      </c>
      <c r="N36" s="126"/>
      <c r="O36" s="115">
        <v>19000800</v>
      </c>
      <c r="P36" s="125">
        <v>1119690</v>
      </c>
      <c r="Q36" s="141">
        <v>17955756</v>
      </c>
      <c r="R36" s="124">
        <f t="shared" si="4"/>
        <v>5.892857142857143</v>
      </c>
      <c r="S36" s="123">
        <f t="shared" si="5"/>
        <v>2634.15</v>
      </c>
      <c r="T36" s="109"/>
      <c r="U36" s="119">
        <f t="shared" si="6"/>
        <v>10800</v>
      </c>
      <c r="V36" s="121">
        <f t="shared" si="12"/>
        <v>31624749.808</v>
      </c>
      <c r="W36" s="120">
        <f t="shared" si="7"/>
        <v>6.824</v>
      </c>
      <c r="X36" s="119">
        <f t="shared" si="8"/>
        <v>1.76</v>
      </c>
      <c r="Y36" s="118">
        <f t="shared" si="13"/>
        <v>31602130.56</v>
      </c>
      <c r="Z36" s="117">
        <f t="shared" si="10"/>
        <v>-22619.247999999672</v>
      </c>
      <c r="AA36" s="116">
        <f t="shared" si="11"/>
        <v>87</v>
      </c>
      <c r="AB36" s="135">
        <v>28</v>
      </c>
      <c r="AD36" s="107">
        <v>29592844</v>
      </c>
      <c r="AE36" s="114">
        <f>SUM(O4:O36)/((SUM(AB4:AB36)*780000))</f>
        <v>0.8079400429909412</v>
      </c>
    </row>
    <row r="37" spans="1:31" ht="15">
      <c r="A37" s="1344">
        <v>12</v>
      </c>
      <c r="B37" s="1345" t="s">
        <v>1190</v>
      </c>
      <c r="C37" s="132" t="s">
        <v>1189</v>
      </c>
      <c r="D37" s="129">
        <v>10800</v>
      </c>
      <c r="E37" s="129"/>
      <c r="F37" s="131"/>
      <c r="G37" s="127">
        <f t="shared" si="1"/>
        <v>0</v>
      </c>
      <c r="H37" s="130" t="e">
        <f t="shared" si="2"/>
        <v>#DIV/0!</v>
      </c>
      <c r="I37" s="127" t="e">
        <f t="shared" si="3"/>
        <v>#DIV/0!</v>
      </c>
      <c r="J37" s="129">
        <v>2565439</v>
      </c>
      <c r="K37" s="129"/>
      <c r="L37" s="127">
        <f>J37+K37</f>
        <v>2565439</v>
      </c>
      <c r="M37" s="138">
        <f>D37*J37+E37*K37</f>
        <v>27706741200</v>
      </c>
      <c r="N37" s="126"/>
      <c r="O37" s="115"/>
      <c r="P37" s="125"/>
      <c r="Q37" s="136"/>
      <c r="R37" s="124" t="e">
        <f t="shared" si="4"/>
        <v>#DIV/0!</v>
      </c>
      <c r="S37" s="123" t="e">
        <f t="shared" si="5"/>
        <v>#DIV/0!</v>
      </c>
      <c r="T37" s="91"/>
      <c r="U37" s="119">
        <f t="shared" si="6"/>
        <v>10800</v>
      </c>
      <c r="V37" s="121">
        <f t="shared" si="12"/>
        <v>17506555.736</v>
      </c>
      <c r="W37" s="120">
        <f t="shared" si="7"/>
        <v>6.824</v>
      </c>
      <c r="X37" s="119">
        <f t="shared" si="8"/>
        <v>1.76</v>
      </c>
      <c r="Y37" s="118">
        <f t="shared" si="13"/>
        <v>0</v>
      </c>
      <c r="Z37" s="117">
        <f t="shared" si="10"/>
        <v>-17506555.736</v>
      </c>
      <c r="AA37" s="116" t="e">
        <f t="shared" si="11"/>
        <v>#DIV/0!</v>
      </c>
      <c r="AB37" s="135">
        <v>0</v>
      </c>
      <c r="AD37" s="107"/>
      <c r="AE37" s="114"/>
    </row>
    <row r="38" spans="1:31" ht="15">
      <c r="A38" s="1333"/>
      <c r="B38" s="1336"/>
      <c r="C38" s="140" t="s">
        <v>1188</v>
      </c>
      <c r="D38" s="139">
        <v>10800</v>
      </c>
      <c r="E38" s="139"/>
      <c r="F38" s="131"/>
      <c r="G38" s="127">
        <f t="shared" si="1"/>
        <v>0</v>
      </c>
      <c r="H38" s="130" t="e">
        <f t="shared" si="2"/>
        <v>#DIV/0!</v>
      </c>
      <c r="I38" s="127" t="e">
        <f t="shared" si="3"/>
        <v>#DIV/0!</v>
      </c>
      <c r="J38" s="139">
        <v>2565439</v>
      </c>
      <c r="K38" s="139"/>
      <c r="L38" s="127">
        <f>J38+K38</f>
        <v>2565439</v>
      </c>
      <c r="M38" s="138">
        <f>D38*J38+E38*K38</f>
        <v>27706741200</v>
      </c>
      <c r="N38" s="137"/>
      <c r="O38" s="115"/>
      <c r="P38" s="125"/>
      <c r="Q38" s="136"/>
      <c r="R38" s="124" t="e">
        <f t="shared" si="4"/>
        <v>#DIV/0!</v>
      </c>
      <c r="S38" s="123" t="e">
        <f t="shared" si="5"/>
        <v>#DIV/0!</v>
      </c>
      <c r="T38" s="91"/>
      <c r="U38" s="119">
        <f t="shared" si="6"/>
        <v>10800</v>
      </c>
      <c r="V38" s="121">
        <f t="shared" si="12"/>
        <v>17506555.736</v>
      </c>
      <c r="W38" s="120">
        <f t="shared" si="7"/>
        <v>6.824</v>
      </c>
      <c r="X38" s="119">
        <f t="shared" si="8"/>
        <v>1.76</v>
      </c>
      <c r="Y38" s="118">
        <f t="shared" si="13"/>
        <v>0</v>
      </c>
      <c r="Z38" s="117">
        <f t="shared" si="10"/>
        <v>-17506555.736</v>
      </c>
      <c r="AA38" s="116" t="e">
        <f t="shared" si="11"/>
        <v>#DIV/0!</v>
      </c>
      <c r="AB38" s="135">
        <v>0</v>
      </c>
      <c r="AD38" s="107"/>
      <c r="AE38" s="114"/>
    </row>
    <row r="39" spans="1:31" ht="15">
      <c r="A39" s="134"/>
      <c r="B39" s="133"/>
      <c r="C39" s="132" t="s">
        <v>1187</v>
      </c>
      <c r="D39" s="129"/>
      <c r="E39" s="129"/>
      <c r="F39" s="131"/>
      <c r="G39" s="127">
        <f t="shared" si="1"/>
        <v>-34988073.12</v>
      </c>
      <c r="H39" s="130">
        <f t="shared" si="2"/>
        <v>1.75</v>
      </c>
      <c r="I39" s="127">
        <f t="shared" si="3"/>
        <v>-198795.86999999732</v>
      </c>
      <c r="J39" s="129"/>
      <c r="K39" s="129"/>
      <c r="L39" s="128">
        <f>L37+L38</f>
        <v>5130878</v>
      </c>
      <c r="M39" s="127">
        <f>M37+M38</f>
        <v>55413482400</v>
      </c>
      <c r="N39" s="126"/>
      <c r="O39" s="115">
        <v>21036600</v>
      </c>
      <c r="P39" s="125">
        <v>1157013</v>
      </c>
      <c r="Q39" s="115">
        <v>19879587</v>
      </c>
      <c r="R39" s="124">
        <f t="shared" si="4"/>
        <v>5.5</v>
      </c>
      <c r="S39" s="123">
        <f t="shared" si="5"/>
        <v>2634.15</v>
      </c>
      <c r="T39" s="122"/>
      <c r="U39" s="119">
        <f t="shared" si="6"/>
        <v>10800</v>
      </c>
      <c r="V39" s="121">
        <f t="shared" si="12"/>
        <v>35013111.472</v>
      </c>
      <c r="W39" s="120">
        <f t="shared" si="7"/>
        <v>6.824</v>
      </c>
      <c r="X39" s="119">
        <f t="shared" si="8"/>
        <v>1.76</v>
      </c>
      <c r="Y39" s="118">
        <f t="shared" si="13"/>
        <v>34988073.12</v>
      </c>
      <c r="Z39" s="117">
        <f t="shared" si="10"/>
        <v>-25038.352000005543</v>
      </c>
      <c r="AA39" s="116">
        <f t="shared" si="11"/>
        <v>87</v>
      </c>
      <c r="AB39" s="115">
        <v>31</v>
      </c>
      <c r="AD39" s="107">
        <v>27589635</v>
      </c>
      <c r="AE39" s="114">
        <f>SUM(O4:O39)/((SUM(AB4:AB39)*780000))</f>
        <v>0.8132108886547242</v>
      </c>
    </row>
    <row r="40" spans="1:30" ht="15">
      <c r="A40" s="106"/>
      <c r="B40" s="105"/>
      <c r="C40" s="113"/>
      <c r="D40" s="111"/>
      <c r="E40" s="111"/>
      <c r="F40" s="111"/>
      <c r="G40" s="111"/>
      <c r="H40" s="112"/>
      <c r="I40" s="111"/>
      <c r="J40" s="111"/>
      <c r="K40" s="111"/>
      <c r="L40" s="111"/>
      <c r="M40" s="110"/>
      <c r="N40" s="110"/>
      <c r="O40" s="109"/>
      <c r="P40" s="109"/>
      <c r="Q40" s="108"/>
      <c r="R40" s="91"/>
      <c r="S40" s="91"/>
      <c r="T40" s="91"/>
      <c r="U40" s="91"/>
      <c r="V40" s="91"/>
      <c r="W40" s="91"/>
      <c r="X40" s="99"/>
      <c r="Y40" s="100"/>
      <c r="Z40" s="96">
        <f>SUM(Z6,Z9,Z12,Z15,Z18,Z21,Z24,Z27,Z30,Z33,Z36,Z39)</f>
        <v>-17801256.13600001</v>
      </c>
      <c r="AA40" s="100"/>
      <c r="AB40" s="100">
        <f>SUM(AB5:AB39)</f>
        <v>365</v>
      </c>
      <c r="AC40" s="107">
        <f>SUM(AC6:AC39)</f>
        <v>530049301</v>
      </c>
      <c r="AD40" s="107">
        <f>SUM(AD6:AD39)</f>
        <v>317339341</v>
      </c>
    </row>
    <row r="41" spans="1:28" ht="15">
      <c r="A41" s="106"/>
      <c r="B41" s="105"/>
      <c r="C41" s="91"/>
      <c r="D41" s="91"/>
      <c r="E41" s="91"/>
      <c r="F41" s="91"/>
      <c r="G41" s="91">
        <f>SUM(G6,G9,G12,G15,G18,G21,G24,G27,G30,G33,G36,G39)</f>
        <v>-82982847.03</v>
      </c>
      <c r="H41" s="91"/>
      <c r="I41" s="91">
        <f>SUM(I6,I9,I12,I15,I18,I21,I24,I27,I30,I33,I36,I39)</f>
        <v>16029964.380000014</v>
      </c>
      <c r="J41" s="91"/>
      <c r="K41" s="91"/>
      <c r="L41" s="91"/>
      <c r="M41" s="91"/>
      <c r="N41" s="91"/>
      <c r="O41" s="102">
        <f>SUM(O6,O9,O12,O15,O18,O21,O24,O27,O30,O33,O36,O39)</f>
        <v>231521140</v>
      </c>
      <c r="P41" s="102">
        <f>SUM(P6,P9,P12,P15,P18,P21,P24,P27,P30,P33,P36,P39)</f>
        <v>12817314</v>
      </c>
      <c r="Q41" s="102" t="e">
        <f>SUM(Q6,Q9,Q12,Q15,Q18,Q21,Q24,Q27,Q30,Q33,#REF!,Q39)</f>
        <v>#REF!</v>
      </c>
      <c r="R41" s="101">
        <f>(P41/O41)*100</f>
        <v>5.53613117143428</v>
      </c>
      <c r="S41" s="91"/>
      <c r="T41" s="91"/>
      <c r="U41" s="91"/>
      <c r="V41" s="91">
        <f>SUM(V6,V9,V12,V15,V18,V21,V24,V27,V30,V33,V36,V39)</f>
        <v>464148461.25600004</v>
      </c>
      <c r="W41" s="91"/>
      <c r="X41" s="91"/>
      <c r="Y41" s="100">
        <f>SUM(Y6,Y9,Y12,Y15,Y18,Y21,Y24,Y27,Y30,Y33,Y36,Y39)</f>
        <v>446347205.12</v>
      </c>
      <c r="Z41" s="104">
        <f>Z40/10000000</f>
        <v>-1.7801256136000012</v>
      </c>
      <c r="AA41" s="100"/>
      <c r="AB41" s="100"/>
    </row>
    <row r="42" spans="1:28" ht="15">
      <c r="A42" s="91"/>
      <c r="B42" s="91"/>
      <c r="C42" s="103">
        <f>M21/L21</f>
        <v>10808.199942648118</v>
      </c>
      <c r="D42" s="91"/>
      <c r="E42" s="91"/>
      <c r="F42" s="91"/>
      <c r="G42" s="101">
        <f>G41/10000000</f>
        <v>-8.298284703</v>
      </c>
      <c r="H42" s="91"/>
      <c r="I42" s="101">
        <f>I41/10000000</f>
        <v>1.6029964380000015</v>
      </c>
      <c r="J42" s="91"/>
      <c r="K42" s="91"/>
      <c r="L42" s="102">
        <f>SUM(L6,L9,L12,L15,L18,L21,L24,L27,L30,L33,L36,L39)</f>
        <v>58531673</v>
      </c>
      <c r="M42" s="102">
        <f>SUM(M6,M9,M12,M15,M18,M21,M24,M27,M30,M33,M36,M39)</f>
        <v>631881831058.2781</v>
      </c>
      <c r="N42" s="91"/>
      <c r="O42" s="96">
        <f>O41/1000000</f>
        <v>231.52114</v>
      </c>
      <c r="P42" s="96">
        <f>P41/1000000</f>
        <v>12.817314</v>
      </c>
      <c r="Q42" s="96" t="e">
        <f>Q41/1000000</f>
        <v>#REF!</v>
      </c>
      <c r="R42" s="91"/>
      <c r="S42" s="91"/>
      <c r="T42" s="91"/>
      <c r="U42" s="91"/>
      <c r="V42" s="96">
        <f>V41/10000000</f>
        <v>46.41484612560001</v>
      </c>
      <c r="W42" s="91"/>
      <c r="X42" s="91"/>
      <c r="Y42" s="96">
        <f>Y41/10000000</f>
        <v>44.634720512</v>
      </c>
      <c r="Z42" s="100"/>
      <c r="AA42" s="100"/>
      <c r="AB42" s="100"/>
    </row>
    <row r="43" spans="1:28" ht="15">
      <c r="A43" s="91"/>
      <c r="B43" s="91"/>
      <c r="C43" s="91"/>
      <c r="D43" s="91"/>
      <c r="E43" s="91"/>
      <c r="F43" s="91"/>
      <c r="G43" s="91"/>
      <c r="H43" s="91"/>
      <c r="I43" s="91"/>
      <c r="J43" s="91"/>
      <c r="K43" s="91"/>
      <c r="L43" s="91"/>
      <c r="M43" s="91"/>
      <c r="N43" s="91"/>
      <c r="O43" s="91"/>
      <c r="P43" s="101">
        <f>P41*100/O41</f>
        <v>5.53613117143428</v>
      </c>
      <c r="Q43" s="91"/>
      <c r="R43" s="91"/>
      <c r="S43" s="91"/>
      <c r="T43" s="91"/>
      <c r="U43" s="91"/>
      <c r="V43" s="91"/>
      <c r="W43" s="91"/>
      <c r="X43" s="91"/>
      <c r="Y43" s="91"/>
      <c r="Z43" s="91"/>
      <c r="AA43" s="91"/>
      <c r="AB43" s="91"/>
    </row>
    <row r="44" spans="1:28" ht="15">
      <c r="A44" s="1347" t="s">
        <v>1186</v>
      </c>
      <c r="B44" s="1347"/>
      <c r="C44" s="1347"/>
      <c r="D44" s="1347"/>
      <c r="E44" s="1347"/>
      <c r="F44" s="1347"/>
      <c r="G44" s="1347"/>
      <c r="H44" s="1347"/>
      <c r="I44" s="1347"/>
      <c r="J44" s="1347"/>
      <c r="K44" s="91" t="s">
        <v>1185</v>
      </c>
      <c r="L44" s="91"/>
      <c r="M44" s="98">
        <f>M42/L42</f>
        <v>10795.553905631197</v>
      </c>
      <c r="N44" s="91"/>
      <c r="O44" s="91" t="s">
        <v>1184</v>
      </c>
      <c r="P44" s="91"/>
      <c r="Q44" s="91"/>
      <c r="R44" s="91"/>
      <c r="S44" s="91"/>
      <c r="T44" s="91"/>
      <c r="U44" s="91" t="s">
        <v>1183</v>
      </c>
      <c r="V44" s="101">
        <f>(O41*100)/(780000*AB40)</f>
        <v>81.32108886547243</v>
      </c>
      <c r="W44" s="91"/>
      <c r="X44" s="91"/>
      <c r="Y44" s="91"/>
      <c r="Z44" s="100">
        <f>Q15*X15</f>
        <v>42069720</v>
      </c>
      <c r="AA44" s="91"/>
      <c r="AB44" s="91"/>
    </row>
    <row r="45" spans="1:28" ht="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f>19928367.8*2.87</f>
        <v>57194415.586</v>
      </c>
      <c r="AA45" s="91"/>
      <c r="AB45" s="91"/>
    </row>
    <row r="46" spans="1:28" ht="15">
      <c r="A46" s="1347" t="s">
        <v>1182</v>
      </c>
      <c r="B46" s="1347"/>
      <c r="C46" s="1347"/>
      <c r="D46" s="1347"/>
      <c r="E46" s="99">
        <f>ROUND((L42*M44)/O41,2)</f>
        <v>2729.26</v>
      </c>
      <c r="F46" s="99"/>
      <c r="G46" s="98">
        <f>(L42*M44)/O41</f>
        <v>2729.2619199191836</v>
      </c>
      <c r="H46" s="91"/>
      <c r="I46" s="91"/>
      <c r="J46" s="91" t="s">
        <v>1181</v>
      </c>
      <c r="K46" s="91"/>
      <c r="L46" s="91"/>
      <c r="M46" s="91"/>
      <c r="N46" s="91"/>
      <c r="O46" s="91"/>
      <c r="P46" s="91"/>
      <c r="Q46" s="91"/>
      <c r="R46" s="91"/>
      <c r="S46" s="91"/>
      <c r="T46" s="91"/>
      <c r="U46" s="91"/>
      <c r="V46" s="91"/>
      <c r="W46" s="91"/>
      <c r="X46" s="91"/>
      <c r="Y46" s="91"/>
      <c r="Z46" s="91"/>
      <c r="AA46" s="91"/>
      <c r="AB46" s="91"/>
    </row>
    <row r="47" spans="1:28" ht="15">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row>
    <row r="48" spans="1:28" ht="15">
      <c r="A48" s="91" t="s">
        <v>1180</v>
      </c>
      <c r="B48" s="91"/>
      <c r="C48" s="91"/>
      <c r="D48" s="91"/>
      <c r="E48" s="91"/>
      <c r="F48" s="91"/>
      <c r="G48" s="91"/>
      <c r="H48" s="91"/>
      <c r="I48" s="91" t="s">
        <v>1179</v>
      </c>
      <c r="J48" s="91"/>
      <c r="K48" s="91" t="s">
        <v>1178</v>
      </c>
      <c r="L48" s="96">
        <f>(2646*C50*100)/(M44*(100-5))</f>
        <v>2.04591356387748</v>
      </c>
      <c r="M48" s="91"/>
      <c r="N48" s="91"/>
      <c r="O48" s="91"/>
      <c r="P48" s="91"/>
      <c r="Q48" s="91"/>
      <c r="R48" s="91"/>
      <c r="S48" s="91"/>
      <c r="T48" s="91"/>
      <c r="U48" s="91"/>
      <c r="V48" s="91"/>
      <c r="W48" s="91"/>
      <c r="X48" s="91"/>
      <c r="Y48" s="91"/>
      <c r="Z48" s="91"/>
      <c r="AA48" s="91"/>
      <c r="AB48" s="91"/>
    </row>
    <row r="49" spans="1:28" ht="1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row>
    <row r="50" spans="1:28" ht="15">
      <c r="A50" s="91"/>
      <c r="B50" s="91" t="s">
        <v>1177</v>
      </c>
      <c r="C50" s="97">
        <f>V41/L42</f>
        <v>7.929868351037908</v>
      </c>
      <c r="D50" s="96">
        <f>V41*1000/L42</f>
        <v>7929.868351037909</v>
      </c>
      <c r="E50" s="91"/>
      <c r="F50" s="91"/>
      <c r="G50" s="91"/>
      <c r="H50" s="91"/>
      <c r="I50" s="91"/>
      <c r="J50" s="91"/>
      <c r="K50" s="91"/>
      <c r="L50" s="91"/>
      <c r="M50" s="91"/>
      <c r="N50" s="91"/>
      <c r="O50" s="91"/>
      <c r="P50" s="91"/>
      <c r="Q50" s="91"/>
      <c r="R50" s="91"/>
      <c r="S50" s="91"/>
      <c r="T50" s="91"/>
      <c r="U50" s="91"/>
      <c r="V50" s="91"/>
      <c r="W50" s="91"/>
      <c r="X50" s="91"/>
      <c r="Y50" s="91"/>
      <c r="Z50" s="91"/>
      <c r="AA50" s="91"/>
      <c r="AB50" s="91"/>
    </row>
    <row r="51" spans="1:28" ht="15">
      <c r="A51" s="91"/>
      <c r="B51" s="91"/>
      <c r="C51" s="95"/>
      <c r="D51" s="91"/>
      <c r="E51" s="91"/>
      <c r="F51" s="91"/>
      <c r="G51" s="94"/>
      <c r="H51" s="93"/>
      <c r="I51" s="92"/>
      <c r="J51" s="91"/>
      <c r="K51" s="91"/>
      <c r="L51" s="91"/>
      <c r="M51" s="91"/>
      <c r="N51" s="91"/>
      <c r="O51" s="91"/>
      <c r="P51" s="91"/>
      <c r="Q51" s="91"/>
      <c r="R51" s="91"/>
      <c r="S51" s="91"/>
      <c r="T51" s="91"/>
      <c r="U51" s="91"/>
      <c r="V51" s="91"/>
      <c r="W51" s="91"/>
      <c r="X51" s="91"/>
      <c r="Y51" s="91"/>
      <c r="Z51" s="91"/>
      <c r="AA51" s="91"/>
      <c r="AB51" s="91"/>
    </row>
  </sheetData>
  <sheetProtection/>
  <mergeCells count="38">
    <mergeCell ref="A46:D46"/>
    <mergeCell ref="A34:A35"/>
    <mergeCell ref="B34:B35"/>
    <mergeCell ref="T34:T35"/>
    <mergeCell ref="A37:A38"/>
    <mergeCell ref="B37:B38"/>
    <mergeCell ref="A44:J44"/>
    <mergeCell ref="B26:B27"/>
    <mergeCell ref="A28:A29"/>
    <mergeCell ref="B28:B29"/>
    <mergeCell ref="T28:T29"/>
    <mergeCell ref="A31:A32"/>
    <mergeCell ref="B31:B32"/>
    <mergeCell ref="T31:T32"/>
    <mergeCell ref="A19:A20"/>
    <mergeCell ref="B19:B20"/>
    <mergeCell ref="T19:T20"/>
    <mergeCell ref="A23:A24"/>
    <mergeCell ref="B23:B24"/>
    <mergeCell ref="T23:T24"/>
    <mergeCell ref="A13:A14"/>
    <mergeCell ref="B13:B14"/>
    <mergeCell ref="T13:T14"/>
    <mergeCell ref="A16:A17"/>
    <mergeCell ref="B16:B17"/>
    <mergeCell ref="T16:T17"/>
    <mergeCell ref="A7:A8"/>
    <mergeCell ref="B7:B8"/>
    <mergeCell ref="T7:T8"/>
    <mergeCell ref="A10:A11"/>
    <mergeCell ref="B10:B11"/>
    <mergeCell ref="T10:T11"/>
    <mergeCell ref="A1:Z1"/>
    <mergeCell ref="D2:G2"/>
    <mergeCell ref="H2:I2"/>
    <mergeCell ref="J2:L2"/>
    <mergeCell ref="A4:A6"/>
    <mergeCell ref="B4:B6"/>
  </mergeCells>
  <printOptions/>
  <pageMargins left="0.16" right="0.16" top="0.75" bottom="0.75" header="0.3" footer="0.3"/>
  <pageSetup horizontalDpi="600" verticalDpi="600" orientation="landscape" scale="60" r:id="rId1"/>
</worksheet>
</file>

<file path=xl/worksheets/sheet48.xml><?xml version="1.0" encoding="utf-8"?>
<worksheet xmlns="http://schemas.openxmlformats.org/spreadsheetml/2006/main" xmlns:r="http://schemas.openxmlformats.org/officeDocument/2006/relationships">
  <dimension ref="A1:C30"/>
  <sheetViews>
    <sheetView zoomScalePageLayoutView="0" workbookViewId="0" topLeftCell="A1">
      <selection activeCell="H6" sqref="H6"/>
    </sheetView>
  </sheetViews>
  <sheetFormatPr defaultColWidth="9.33203125" defaultRowHeight="12.75"/>
  <cols>
    <col min="1" max="1" width="20" style="85" customWidth="1"/>
    <col min="2" max="2" width="79.83203125" style="85" customWidth="1"/>
    <col min="3" max="3" width="18" style="85" customWidth="1"/>
    <col min="4" max="16384" width="9.33203125" style="85" customWidth="1"/>
  </cols>
  <sheetData>
    <row r="1" spans="1:3" s="88" customFormat="1" ht="18.75">
      <c r="A1" s="1377" t="s">
        <v>1169</v>
      </c>
      <c r="B1" s="1377"/>
      <c r="C1" s="1377"/>
    </row>
    <row r="2" spans="1:3" s="88" customFormat="1" ht="18.75">
      <c r="A2" s="1377" t="s">
        <v>1170</v>
      </c>
      <c r="B2" s="1377"/>
      <c r="C2" s="1377"/>
    </row>
    <row r="3" spans="1:3" s="88" customFormat="1" ht="18.75">
      <c r="A3" s="1377" t="s">
        <v>1171</v>
      </c>
      <c r="B3" s="1377"/>
      <c r="C3" s="1377"/>
    </row>
    <row r="4" spans="1:3" s="88" customFormat="1" ht="18.75">
      <c r="A4" s="1377" t="s">
        <v>1172</v>
      </c>
      <c r="B4" s="1377"/>
      <c r="C4" s="1377"/>
    </row>
    <row r="5" spans="1:3" s="88" customFormat="1" ht="18.75">
      <c r="A5" s="1377" t="s">
        <v>1173</v>
      </c>
      <c r="B5" s="1377"/>
      <c r="C5" s="1377"/>
    </row>
    <row r="6" spans="1:3" ht="33" customHeight="1">
      <c r="A6" s="1376" t="s">
        <v>0</v>
      </c>
      <c r="B6" s="1376"/>
      <c r="C6" s="1376"/>
    </row>
    <row r="7" spans="1:3" ht="24.75" customHeight="1">
      <c r="A7" s="89" t="s">
        <v>1174</v>
      </c>
      <c r="B7" s="89" t="s">
        <v>1175</v>
      </c>
      <c r="C7" s="89" t="s">
        <v>1176</v>
      </c>
    </row>
    <row r="8" spans="1:3" ht="15.75">
      <c r="A8" s="65" t="s">
        <v>4</v>
      </c>
      <c r="B8" s="86" t="s">
        <v>5</v>
      </c>
      <c r="C8" s="49"/>
    </row>
    <row r="9" spans="1:3" ht="15.75">
      <c r="A9" s="65" t="s">
        <v>6</v>
      </c>
      <c r="B9" s="86" t="s">
        <v>7</v>
      </c>
      <c r="C9" s="49"/>
    </row>
    <row r="10" spans="1:3" ht="15.75">
      <c r="A10" s="65" t="s">
        <v>8</v>
      </c>
      <c r="B10" s="86" t="s">
        <v>9</v>
      </c>
      <c r="C10" s="49"/>
    </row>
    <row r="11" spans="1:3" ht="15.75">
      <c r="A11" s="65" t="s">
        <v>10</v>
      </c>
      <c r="B11" s="86" t="s">
        <v>11</v>
      </c>
      <c r="C11" s="49"/>
    </row>
    <row r="12" spans="1:3" ht="15.75">
      <c r="A12" s="65" t="s">
        <v>12</v>
      </c>
      <c r="B12" s="86" t="s">
        <v>13</v>
      </c>
      <c r="C12" s="49"/>
    </row>
    <row r="13" spans="1:3" ht="15.75">
      <c r="A13" s="65" t="s">
        <v>14</v>
      </c>
      <c r="B13" s="86" t="s">
        <v>15</v>
      </c>
      <c r="C13" s="49"/>
    </row>
    <row r="14" spans="1:3" ht="15.75">
      <c r="A14" s="65" t="s">
        <v>16</v>
      </c>
      <c r="B14" s="86" t="s">
        <v>17</v>
      </c>
      <c r="C14" s="49"/>
    </row>
    <row r="15" spans="1:3" ht="15.75">
      <c r="A15" s="65" t="s">
        <v>18</v>
      </c>
      <c r="B15" s="86" t="s">
        <v>19</v>
      </c>
      <c r="C15" s="49"/>
    </row>
    <row r="16" spans="1:3" ht="15.75">
      <c r="A16" s="65" t="s">
        <v>20</v>
      </c>
      <c r="B16" s="86" t="s">
        <v>21</v>
      </c>
      <c r="C16" s="49"/>
    </row>
    <row r="17" spans="1:3" ht="15.75">
      <c r="A17" s="65" t="s">
        <v>22</v>
      </c>
      <c r="B17" s="86" t="s">
        <v>23</v>
      </c>
      <c r="C17" s="49"/>
    </row>
    <row r="18" spans="1:3" ht="15.75">
      <c r="A18" s="65" t="s">
        <v>24</v>
      </c>
      <c r="B18" s="86" t="s">
        <v>25</v>
      </c>
      <c r="C18" s="49"/>
    </row>
    <row r="19" spans="1:3" ht="15.75">
      <c r="A19" s="65" t="s">
        <v>26</v>
      </c>
      <c r="B19" s="86" t="s">
        <v>27</v>
      </c>
      <c r="C19" s="49"/>
    </row>
    <row r="20" spans="1:3" ht="15.75">
      <c r="A20" s="65" t="s">
        <v>28</v>
      </c>
      <c r="B20" s="86" t="s">
        <v>29</v>
      </c>
      <c r="C20" s="49"/>
    </row>
    <row r="21" spans="1:3" ht="15.75">
      <c r="A21" s="65" t="s">
        <v>30</v>
      </c>
      <c r="B21" s="86" t="s">
        <v>31</v>
      </c>
      <c r="C21" s="49"/>
    </row>
    <row r="22" spans="1:3" ht="15.75">
      <c r="A22" s="65" t="s">
        <v>32</v>
      </c>
      <c r="B22" s="86" t="s">
        <v>33</v>
      </c>
      <c r="C22" s="49"/>
    </row>
    <row r="23" spans="1:3" ht="27.75" customHeight="1">
      <c r="A23" s="65" t="s">
        <v>34</v>
      </c>
      <c r="B23" s="86" t="s">
        <v>35</v>
      </c>
      <c r="C23" s="49"/>
    </row>
    <row r="24" spans="1:3" ht="33.75" customHeight="1">
      <c r="A24" s="65" t="s">
        <v>36</v>
      </c>
      <c r="B24" s="87" t="s">
        <v>37</v>
      </c>
      <c r="C24" s="49"/>
    </row>
    <row r="25" spans="1:3" ht="15.75">
      <c r="A25" s="65" t="s">
        <v>38</v>
      </c>
      <c r="B25" s="87" t="s">
        <v>39</v>
      </c>
      <c r="C25" s="49"/>
    </row>
    <row r="26" spans="1:3" ht="15.75">
      <c r="A26" s="65" t="s">
        <v>40</v>
      </c>
      <c r="B26" s="86" t="s">
        <v>41</v>
      </c>
      <c r="C26" s="49"/>
    </row>
    <row r="27" spans="1:3" ht="15.75">
      <c r="A27" s="65" t="s">
        <v>42</v>
      </c>
      <c r="B27" s="86" t="s">
        <v>43</v>
      </c>
      <c r="C27" s="49"/>
    </row>
    <row r="28" spans="1:3" ht="15.75">
      <c r="A28" s="65" t="s">
        <v>44</v>
      </c>
      <c r="B28" s="86" t="s">
        <v>45</v>
      </c>
      <c r="C28" s="49"/>
    </row>
    <row r="29" spans="1:3" ht="15.75">
      <c r="A29" s="65" t="s">
        <v>46</v>
      </c>
      <c r="B29" s="86" t="s">
        <v>47</v>
      </c>
      <c r="C29" s="49"/>
    </row>
    <row r="30" spans="1:3" ht="15.75">
      <c r="A30" s="65" t="s">
        <v>48</v>
      </c>
      <c r="B30" s="86" t="s">
        <v>49</v>
      </c>
      <c r="C30" s="49"/>
    </row>
  </sheetData>
  <sheetProtection/>
  <mergeCells count="6">
    <mergeCell ref="A6:C6"/>
    <mergeCell ref="A1:C1"/>
    <mergeCell ref="A2:C2"/>
    <mergeCell ref="A3:C3"/>
    <mergeCell ref="A4:C4"/>
    <mergeCell ref="A5:C5"/>
  </mergeCell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33203125" defaultRowHeight="12.75"/>
  <cols>
    <col min="1" max="1" width="22.5" style="0" customWidth="1"/>
    <col min="2" max="2" width="90.83203125" style="0" customWidth="1"/>
    <col min="3" max="3" width="12.83203125" style="0" customWidth="1"/>
    <col min="4" max="4" width="4.66015625" style="0" customWidth="1"/>
  </cols>
  <sheetData>
    <row r="1" spans="1:4" ht="51.75" customHeight="1">
      <c r="A1" s="1378" t="s">
        <v>50</v>
      </c>
      <c r="B1" s="1378"/>
      <c r="C1" s="1378"/>
      <c r="D1" s="1378"/>
    </row>
    <row r="2" spans="1:3" ht="19.5" customHeight="1">
      <c r="A2" s="1" t="s">
        <v>1</v>
      </c>
      <c r="B2" s="1" t="s">
        <v>2</v>
      </c>
      <c r="C2" s="7" t="s">
        <v>3</v>
      </c>
    </row>
    <row r="3" spans="1:3" ht="19.5" customHeight="1">
      <c r="A3" s="4"/>
      <c r="B3" s="4"/>
      <c r="C3" s="4"/>
    </row>
    <row r="4" spans="1:3" ht="27.75" customHeight="1">
      <c r="A4" s="1" t="s">
        <v>51</v>
      </c>
      <c r="B4" s="3" t="s">
        <v>52</v>
      </c>
      <c r="C4" s="6"/>
    </row>
    <row r="5" spans="1:3" ht="19.5" customHeight="1">
      <c r="A5" s="1" t="s">
        <v>53</v>
      </c>
      <c r="B5" s="3" t="s">
        <v>54</v>
      </c>
      <c r="C5" s="4"/>
    </row>
    <row r="6" spans="1:3" ht="19.5" customHeight="1">
      <c r="A6" s="1" t="s">
        <v>55</v>
      </c>
      <c r="B6" s="3" t="s">
        <v>56</v>
      </c>
      <c r="C6" s="4"/>
    </row>
    <row r="7" spans="1:3" ht="20.25" customHeight="1">
      <c r="A7" s="1" t="s">
        <v>57</v>
      </c>
      <c r="B7" s="3" t="s">
        <v>58</v>
      </c>
      <c r="C7" s="4"/>
    </row>
    <row r="8" spans="1:3" ht="39" customHeight="1">
      <c r="A8" s="1" t="s">
        <v>59</v>
      </c>
      <c r="B8" s="5" t="s">
        <v>60</v>
      </c>
      <c r="C8" s="6"/>
    </row>
    <row r="9" spans="1:3" ht="20.25" customHeight="1">
      <c r="A9" s="1" t="s">
        <v>61</v>
      </c>
      <c r="B9" s="3" t="s">
        <v>62</v>
      </c>
      <c r="C9" s="4"/>
    </row>
    <row r="10" spans="1:3" ht="19.5" customHeight="1">
      <c r="A10" s="1" t="s">
        <v>63</v>
      </c>
      <c r="B10" s="3" t="s">
        <v>64</v>
      </c>
      <c r="C10" s="4"/>
    </row>
    <row r="11" spans="1:3" ht="19.5" customHeight="1">
      <c r="A11" s="1" t="s">
        <v>65</v>
      </c>
      <c r="B11" s="3" t="s">
        <v>66</v>
      </c>
      <c r="C11" s="4"/>
    </row>
    <row r="12" spans="1:3" ht="19.5" customHeight="1">
      <c r="A12" s="1" t="s">
        <v>67</v>
      </c>
      <c r="B12" s="3" t="s">
        <v>68</v>
      </c>
      <c r="C12" s="4"/>
    </row>
    <row r="13" spans="1:3" ht="19.5" customHeight="1">
      <c r="A13" s="1" t="s">
        <v>69</v>
      </c>
      <c r="B13" s="3" t="s">
        <v>70</v>
      </c>
      <c r="C13" s="4"/>
    </row>
    <row r="14" spans="1:3" ht="39" customHeight="1">
      <c r="A14" s="1" t="s">
        <v>71</v>
      </c>
      <c r="B14" s="5" t="s">
        <v>72</v>
      </c>
      <c r="C14" s="6"/>
    </row>
    <row r="15" spans="1:3" ht="19.5" customHeight="1">
      <c r="A15" s="1" t="s">
        <v>73</v>
      </c>
      <c r="B15" s="3" t="s">
        <v>74</v>
      </c>
      <c r="C15" s="4"/>
    </row>
    <row r="16" spans="1:3" ht="19.5" customHeight="1">
      <c r="A16" s="1" t="s">
        <v>75</v>
      </c>
      <c r="B16" s="3" t="s">
        <v>76</v>
      </c>
      <c r="C16" s="4"/>
    </row>
    <row r="17" spans="1:3" ht="19.5" customHeight="1">
      <c r="A17" s="1" t="s">
        <v>77</v>
      </c>
      <c r="B17" s="3" t="s">
        <v>78</v>
      </c>
      <c r="C17" s="4"/>
    </row>
    <row r="18" spans="1:3" ht="19.5" customHeight="1">
      <c r="A18" s="1" t="s">
        <v>79</v>
      </c>
      <c r="B18" s="3" t="s">
        <v>80</v>
      </c>
      <c r="C18" s="4"/>
    </row>
    <row r="19" spans="1:3" ht="19.5" customHeight="1">
      <c r="A19" s="1" t="s">
        <v>81</v>
      </c>
      <c r="B19" s="3" t="s">
        <v>82</v>
      </c>
      <c r="C19" s="4"/>
    </row>
    <row r="20" spans="1:3" ht="39" customHeight="1">
      <c r="A20" s="1" t="s">
        <v>83</v>
      </c>
      <c r="B20" s="5" t="s">
        <v>84</v>
      </c>
      <c r="C20" s="6"/>
    </row>
    <row r="21" spans="1:3" ht="19.5" customHeight="1">
      <c r="A21" s="1" t="s">
        <v>85</v>
      </c>
      <c r="B21" s="3" t="s">
        <v>86</v>
      </c>
      <c r="C21" s="4"/>
    </row>
    <row r="22" spans="1:3" ht="19.5" customHeight="1">
      <c r="A22" s="1" t="s">
        <v>87</v>
      </c>
      <c r="B22" s="3" t="s">
        <v>88</v>
      </c>
      <c r="C22" s="4"/>
    </row>
    <row r="23" spans="1:3" ht="19.5" customHeight="1">
      <c r="A23" s="1" t="s">
        <v>89</v>
      </c>
      <c r="B23" s="3" t="s">
        <v>90</v>
      </c>
      <c r="C23" s="4"/>
    </row>
  </sheetData>
  <sheetProtection/>
  <mergeCells count="1">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89"/>
  <sheetViews>
    <sheetView view="pageBreakPreview" zoomScaleSheetLayoutView="100" zoomScalePageLayoutView="0" workbookViewId="0" topLeftCell="A75">
      <selection activeCell="A4" sqref="A4:L85"/>
    </sheetView>
  </sheetViews>
  <sheetFormatPr defaultColWidth="9.33203125" defaultRowHeight="12.75"/>
  <cols>
    <col min="1" max="2" width="9.33203125" style="90" customWidth="1"/>
    <col min="3" max="3" width="42.5" style="90" customWidth="1"/>
    <col min="4" max="4" width="0" style="90" hidden="1" customWidth="1"/>
    <col min="5" max="5" width="9.5" style="90" hidden="1" customWidth="1"/>
    <col min="6" max="6" width="17.66015625" style="90" hidden="1" customWidth="1"/>
    <col min="7" max="7" width="12.5" style="90" hidden="1" customWidth="1"/>
    <col min="8" max="8" width="16.16015625" style="90" hidden="1" customWidth="1"/>
    <col min="9" max="10" width="16.16015625" style="90" customWidth="1"/>
    <col min="11" max="11" width="16.5" style="90" customWidth="1"/>
    <col min="12" max="16384" width="9.33203125" style="90" customWidth="1"/>
  </cols>
  <sheetData>
    <row r="2" spans="1:11" ht="12.75">
      <c r="A2" s="201"/>
      <c r="B2" s="201"/>
      <c r="C2" s="1014"/>
      <c r="D2" s="1009"/>
      <c r="E2" s="1009"/>
      <c r="F2" s="1010"/>
      <c r="G2" s="201"/>
      <c r="H2" s="201"/>
      <c r="I2" s="201"/>
      <c r="J2" s="201"/>
      <c r="K2" s="201"/>
    </row>
    <row r="3" spans="1:11" ht="12.75">
      <c r="A3" s="201"/>
      <c r="B3" s="201"/>
      <c r="C3" s="201"/>
      <c r="D3" s="201"/>
      <c r="E3" s="201"/>
      <c r="F3" s="201"/>
      <c r="G3" s="201"/>
      <c r="H3" s="201"/>
      <c r="I3" s="201"/>
      <c r="J3" s="201"/>
      <c r="K3" s="201"/>
    </row>
    <row r="4" spans="1:11" ht="12.75">
      <c r="A4" s="201"/>
      <c r="B4" s="1011"/>
      <c r="C4" s="201"/>
      <c r="D4" s="201"/>
      <c r="E4" s="201"/>
      <c r="F4" s="201"/>
      <c r="G4" s="201"/>
      <c r="H4" s="198" t="s">
        <v>1601</v>
      </c>
      <c r="I4" s="198"/>
      <c r="J4" s="198"/>
      <c r="K4" s="198" t="s">
        <v>1601</v>
      </c>
    </row>
    <row r="5" spans="1:11" ht="12.75">
      <c r="A5" s="201"/>
      <c r="B5" s="201"/>
      <c r="C5" s="201"/>
      <c r="D5" s="201"/>
      <c r="E5" s="201"/>
      <c r="F5" s="201"/>
      <c r="G5" s="201"/>
      <c r="H5" s="201"/>
      <c r="I5" s="201"/>
      <c r="J5" s="201"/>
      <c r="K5" s="201"/>
    </row>
    <row r="6" spans="1:11" ht="12.75">
      <c r="A6" s="201"/>
      <c r="B6" s="201"/>
      <c r="C6" s="201"/>
      <c r="D6" s="201"/>
      <c r="E6" s="201"/>
      <c r="F6" s="201"/>
      <c r="G6" s="201"/>
      <c r="H6" s="201"/>
      <c r="I6" s="201"/>
      <c r="J6" s="201"/>
      <c r="K6" s="201"/>
    </row>
    <row r="7" spans="1:11" ht="12.75">
      <c r="A7" s="201"/>
      <c r="B7" s="201"/>
      <c r="C7" s="201" t="s">
        <v>1405</v>
      </c>
      <c r="D7" s="201"/>
      <c r="E7" s="201"/>
      <c r="F7" s="198" t="s">
        <v>1404</v>
      </c>
      <c r="G7" s="201"/>
      <c r="H7" s="201"/>
      <c r="I7" s="201"/>
      <c r="J7" s="201"/>
      <c r="K7" s="201"/>
    </row>
    <row r="8" spans="1:11" ht="12.75">
      <c r="A8" s="201"/>
      <c r="B8" s="201"/>
      <c r="C8" s="201" t="s">
        <v>1576</v>
      </c>
      <c r="D8" s="201"/>
      <c r="E8" s="201"/>
      <c r="F8" s="198" t="s">
        <v>1402</v>
      </c>
      <c r="G8" s="201"/>
      <c r="H8" s="201"/>
      <c r="I8" s="201"/>
      <c r="J8" s="201"/>
      <c r="K8" s="201"/>
    </row>
    <row r="9" spans="1:11" ht="12.75">
      <c r="A9" s="201"/>
      <c r="B9" s="201"/>
      <c r="C9" s="198" t="s">
        <v>2028</v>
      </c>
      <c r="D9" s="201"/>
      <c r="E9" s="201"/>
      <c r="F9" s="201"/>
      <c r="G9" s="201"/>
      <c r="H9" s="201"/>
      <c r="I9" s="201"/>
      <c r="J9" s="201"/>
      <c r="K9" s="201"/>
    </row>
    <row r="10" spans="1:11" ht="12.75">
      <c r="A10" s="201"/>
      <c r="B10" s="201"/>
      <c r="C10" s="201"/>
      <c r="D10" s="201"/>
      <c r="E10" s="201"/>
      <c r="F10" s="201"/>
      <c r="G10" s="201"/>
      <c r="H10" s="201"/>
      <c r="I10" s="201"/>
      <c r="J10" s="201"/>
      <c r="K10" s="201"/>
    </row>
    <row r="11" spans="1:11" ht="12.75">
      <c r="A11" s="201"/>
      <c r="B11" s="201"/>
      <c r="C11" s="201" t="s">
        <v>1602</v>
      </c>
      <c r="D11" s="201"/>
      <c r="E11" s="201"/>
      <c r="F11" s="201"/>
      <c r="G11" s="201"/>
      <c r="H11" s="201"/>
      <c r="I11" s="201"/>
      <c r="J11" s="201"/>
      <c r="K11" s="201"/>
    </row>
    <row r="12" spans="1:11" ht="12.75">
      <c r="A12" s="201"/>
      <c r="B12" s="201"/>
      <c r="C12" s="201"/>
      <c r="D12" s="201"/>
      <c r="E12" s="201"/>
      <c r="F12" s="201"/>
      <c r="G12" s="201"/>
      <c r="H12" s="201"/>
      <c r="I12" s="201"/>
      <c r="J12" s="201"/>
      <c r="K12" s="201"/>
    </row>
    <row r="13" spans="1:11" ht="18.75" customHeight="1">
      <c r="A13" s="201"/>
      <c r="B13" s="201"/>
      <c r="C13" s="231" t="s">
        <v>1355</v>
      </c>
      <c r="D13" s="231"/>
      <c r="E13" s="231"/>
      <c r="F13" s="230" t="s">
        <v>1463</v>
      </c>
      <c r="G13" s="1133" t="s">
        <v>1603</v>
      </c>
      <c r="H13" s="1133"/>
      <c r="I13" s="1070" t="s">
        <v>2037</v>
      </c>
      <c r="J13" s="1071" t="s">
        <v>1542</v>
      </c>
      <c r="K13" s="1072" t="s">
        <v>1543</v>
      </c>
    </row>
    <row r="14" spans="1:11" ht="12.75">
      <c r="A14" s="201"/>
      <c r="B14" s="201"/>
      <c r="C14" s="286"/>
      <c r="D14" s="286"/>
      <c r="E14" s="286"/>
      <c r="F14" s="1069" t="s">
        <v>1357</v>
      </c>
      <c r="G14" s="372" t="s">
        <v>1364</v>
      </c>
      <c r="H14" s="372" t="s">
        <v>1356</v>
      </c>
      <c r="I14" s="372" t="s">
        <v>1911</v>
      </c>
      <c r="J14" s="372" t="s">
        <v>1912</v>
      </c>
      <c r="K14" s="372" t="s">
        <v>1913</v>
      </c>
    </row>
    <row r="15" spans="1:11" ht="12.75">
      <c r="A15" s="201"/>
      <c r="B15" s="201"/>
      <c r="C15" s="286"/>
      <c r="D15" s="286"/>
      <c r="E15" s="286"/>
      <c r="F15" s="455"/>
      <c r="G15" s="286"/>
      <c r="H15" s="286"/>
      <c r="I15" s="286"/>
      <c r="J15" s="286"/>
      <c r="K15" s="455"/>
    </row>
    <row r="16" spans="1:11" ht="12.75">
      <c r="A16" s="201"/>
      <c r="B16" s="201" t="s">
        <v>1606</v>
      </c>
      <c r="C16" s="253" t="s">
        <v>1607</v>
      </c>
      <c r="D16" s="286"/>
      <c r="E16" s="286"/>
      <c r="F16" s="455"/>
      <c r="G16" s="286"/>
      <c r="H16" s="286"/>
      <c r="I16" s="286"/>
      <c r="J16" s="286"/>
      <c r="K16" s="455"/>
    </row>
    <row r="17" spans="1:12" ht="12.75">
      <c r="A17" s="201"/>
      <c r="B17" s="201">
        <v>1</v>
      </c>
      <c r="C17" s="253" t="s">
        <v>1608</v>
      </c>
      <c r="D17" s="286"/>
      <c r="E17" s="286"/>
      <c r="F17" s="1012">
        <f>297212.77+1157230.14+1593576.89+607801+1307644.33+137017.66+489637.95+1298078.44+386666.43+2815641.94+2971490.29+364007.61</f>
        <v>13426005.45</v>
      </c>
      <c r="G17" s="286"/>
      <c r="H17" s="1012">
        <f>484943.1+398572.91+877584.59+327909.22+705492.55+790636.96+186161.14+180180.98+1168889.19+3274070.6+377747.7+2603260.86</f>
        <v>11375449.799999999</v>
      </c>
      <c r="I17" s="286"/>
      <c r="J17" s="286"/>
      <c r="K17" s="455"/>
      <c r="L17" s="385"/>
    </row>
    <row r="18" spans="1:12" ht="12.75">
      <c r="A18" s="201"/>
      <c r="B18" s="201">
        <v>2</v>
      </c>
      <c r="C18" s="253" t="s">
        <v>1609</v>
      </c>
      <c r="D18" s="286"/>
      <c r="E18" s="286"/>
      <c r="F18" s="1012">
        <f>594001+12974+22139828+753665-F17</f>
        <v>10074462.55</v>
      </c>
      <c r="G18" s="286"/>
      <c r="H18" s="1012">
        <f>18405393-H17</f>
        <v>7029943.200000001</v>
      </c>
      <c r="I18" s="286">
        <f>36577965</f>
        <v>36577965</v>
      </c>
      <c r="J18" s="286"/>
      <c r="K18" s="286"/>
      <c r="L18" s="386"/>
    </row>
    <row r="19" spans="1:11" ht="12.75">
      <c r="A19" s="201"/>
      <c r="B19" s="201">
        <v>3</v>
      </c>
      <c r="C19" s="253" t="s">
        <v>1610</v>
      </c>
      <c r="D19" s="286"/>
      <c r="E19" s="286"/>
      <c r="F19" s="1013">
        <f>8678470+144805</f>
        <v>8823275</v>
      </c>
      <c r="G19" s="286"/>
      <c r="H19" s="1012">
        <v>5544653</v>
      </c>
      <c r="I19" s="286">
        <v>5750581</v>
      </c>
      <c r="J19" s="286"/>
      <c r="K19" s="286"/>
    </row>
    <row r="20" spans="1:11" ht="12.75">
      <c r="A20" s="201"/>
      <c r="B20" s="201">
        <v>4</v>
      </c>
      <c r="C20" s="253" t="s">
        <v>1611</v>
      </c>
      <c r="D20" s="286"/>
      <c r="E20" s="286"/>
      <c r="F20" s="1013">
        <v>2528898</v>
      </c>
      <c r="G20" s="286"/>
      <c r="H20" s="1012">
        <v>1898282</v>
      </c>
      <c r="I20" s="286">
        <v>2978985</v>
      </c>
      <c r="J20" s="286"/>
      <c r="K20" s="286"/>
    </row>
    <row r="21" spans="1:11" ht="12.75">
      <c r="A21" s="201"/>
      <c r="B21" s="201">
        <v>5</v>
      </c>
      <c r="C21" s="253" t="s">
        <v>1612</v>
      </c>
      <c r="D21" s="286"/>
      <c r="E21" s="286"/>
      <c r="F21" s="1013"/>
      <c r="G21" s="286"/>
      <c r="H21" s="1012"/>
      <c r="I21" s="286"/>
      <c r="J21" s="286"/>
      <c r="K21" s="286"/>
    </row>
    <row r="22" spans="1:11" ht="12.75">
      <c r="A22" s="201"/>
      <c r="B22" s="201"/>
      <c r="C22" s="253" t="s">
        <v>1613</v>
      </c>
      <c r="D22" s="286"/>
      <c r="E22" s="286"/>
      <c r="F22" s="1013">
        <v>599496</v>
      </c>
      <c r="G22" s="286"/>
      <c r="H22" s="1012">
        <v>339496</v>
      </c>
      <c r="I22" s="286">
        <v>287496</v>
      </c>
      <c r="J22" s="286"/>
      <c r="K22" s="286"/>
    </row>
    <row r="23" spans="1:11" ht="12.75">
      <c r="A23" s="201"/>
      <c r="B23" s="201"/>
      <c r="C23" s="253" t="s">
        <v>1614</v>
      </c>
      <c r="D23" s="286"/>
      <c r="E23" s="286"/>
      <c r="F23" s="1013">
        <v>3306827</v>
      </c>
      <c r="G23" s="286"/>
      <c r="H23" s="1012">
        <v>3687637</v>
      </c>
      <c r="I23" s="286">
        <v>3581227</v>
      </c>
      <c r="J23" s="286"/>
      <c r="K23" s="286"/>
    </row>
    <row r="24" spans="1:11" ht="12.75">
      <c r="A24" s="201"/>
      <c r="B24" s="201"/>
      <c r="C24" s="253" t="s">
        <v>1615</v>
      </c>
      <c r="D24" s="286"/>
      <c r="E24" s="286"/>
      <c r="F24" s="1013">
        <v>190206</v>
      </c>
      <c r="G24" s="286"/>
      <c r="H24" s="1012">
        <v>83236</v>
      </c>
      <c r="I24" s="286">
        <v>371107</v>
      </c>
      <c r="J24" s="286"/>
      <c r="K24" s="286"/>
    </row>
    <row r="25" spans="1:11" ht="12.75">
      <c r="A25" s="201"/>
      <c r="B25" s="201"/>
      <c r="C25" s="253" t="s">
        <v>1616</v>
      </c>
      <c r="D25" s="286"/>
      <c r="E25" s="286"/>
      <c r="F25" s="1013">
        <v>296643</v>
      </c>
      <c r="G25" s="286"/>
      <c r="H25" s="1012">
        <v>295554</v>
      </c>
      <c r="I25" s="286">
        <v>298792</v>
      </c>
      <c r="J25" s="286"/>
      <c r="K25" s="286"/>
    </row>
    <row r="26" spans="1:11" ht="12.75">
      <c r="A26" s="201"/>
      <c r="B26" s="201"/>
      <c r="C26" s="253" t="s">
        <v>1617</v>
      </c>
      <c r="D26" s="286"/>
      <c r="E26" s="286"/>
      <c r="F26" s="1013">
        <v>579081</v>
      </c>
      <c r="G26" s="286"/>
      <c r="H26" s="1012">
        <v>87553</v>
      </c>
      <c r="I26" s="286">
        <v>81568</v>
      </c>
      <c r="J26" s="286"/>
      <c r="K26" s="286"/>
    </row>
    <row r="27" spans="1:11" ht="12.75">
      <c r="A27" s="201"/>
      <c r="B27" s="201"/>
      <c r="C27" s="253" t="s">
        <v>1618</v>
      </c>
      <c r="D27" s="286"/>
      <c r="E27" s="286"/>
      <c r="F27" s="1013"/>
      <c r="G27" s="286"/>
      <c r="H27" s="1012"/>
      <c r="I27" s="286"/>
      <c r="J27" s="286"/>
      <c r="K27" s="286"/>
    </row>
    <row r="28" spans="1:11" ht="12.75">
      <c r="A28" s="201"/>
      <c r="B28" s="201"/>
      <c r="C28" s="253" t="s">
        <v>1619</v>
      </c>
      <c r="D28" s="286"/>
      <c r="E28" s="286"/>
      <c r="F28" s="1012">
        <f>57371943-F17-F18-F19-F20-F22-F23-F24-F25-F26-4753678</f>
        <v>12793371</v>
      </c>
      <c r="G28" s="286"/>
      <c r="H28" s="1012">
        <f>47683859-H17-H18-H19-H20-H22-H23-H24-H25-H26-5906095</f>
        <v>11435960</v>
      </c>
      <c r="I28" s="1012">
        <f>61997099-I17-I18-I19-I20-I22-I23-I24-I25-I26</f>
        <v>12069378</v>
      </c>
      <c r="J28" s="286"/>
      <c r="K28" s="286"/>
    </row>
    <row r="29" spans="1:11" ht="12.75">
      <c r="A29" s="201"/>
      <c r="B29" s="201"/>
      <c r="C29" s="253" t="s">
        <v>1620</v>
      </c>
      <c r="D29" s="286"/>
      <c r="E29" s="286"/>
      <c r="F29" s="1013">
        <f>SUM(F22:F28)</f>
        <v>17765624</v>
      </c>
      <c r="G29" s="286"/>
      <c r="H29" s="1012">
        <f>SUM(H22:H28)</f>
        <v>15929436</v>
      </c>
      <c r="I29" s="1012">
        <f>SUM(I22:I28)</f>
        <v>16689568</v>
      </c>
      <c r="J29" s="286"/>
      <c r="K29" s="286"/>
    </row>
    <row r="30" spans="1:11" ht="12.75">
      <c r="A30" s="201"/>
      <c r="B30" s="201">
        <v>6</v>
      </c>
      <c r="C30" s="253" t="s">
        <v>1621</v>
      </c>
      <c r="D30" s="286"/>
      <c r="E30" s="286"/>
      <c r="F30" s="1013"/>
      <c r="G30" s="286"/>
      <c r="H30" s="1012"/>
      <c r="I30" s="286"/>
      <c r="J30" s="286"/>
      <c r="K30" s="286"/>
    </row>
    <row r="31" spans="1:11" ht="12.75">
      <c r="A31" s="201"/>
      <c r="B31" s="201"/>
      <c r="C31" s="253" t="s">
        <v>1622</v>
      </c>
      <c r="D31" s="286"/>
      <c r="E31" s="286"/>
      <c r="F31" s="1013">
        <f>100763300-F48</f>
        <v>99525493</v>
      </c>
      <c r="G31" s="286"/>
      <c r="H31" s="1012">
        <f>116245434-H48</f>
        <v>115028772</v>
      </c>
      <c r="I31" s="286">
        <f>358146+122323+800504+113751962+1761090+12911-88046-I48</f>
        <v>115448890</v>
      </c>
      <c r="J31" s="286"/>
      <c r="K31" s="286"/>
    </row>
    <row r="32" spans="1:11" ht="12.75">
      <c r="A32" s="201"/>
      <c r="B32" s="201"/>
      <c r="C32" s="253" t="s">
        <v>1623</v>
      </c>
      <c r="D32" s="286"/>
      <c r="E32" s="286"/>
      <c r="F32" s="1013"/>
      <c r="G32" s="286"/>
      <c r="H32" s="1012"/>
      <c r="I32" s="286"/>
      <c r="J32" s="286"/>
      <c r="K32" s="286"/>
    </row>
    <row r="33" spans="1:11" ht="12.75">
      <c r="A33" s="201"/>
      <c r="B33" s="201"/>
      <c r="C33" s="253" t="s">
        <v>1624</v>
      </c>
      <c r="D33" s="286"/>
      <c r="E33" s="286"/>
      <c r="F33" s="1013"/>
      <c r="G33" s="286"/>
      <c r="H33" s="1012"/>
      <c r="I33" s="286"/>
      <c r="J33" s="286"/>
      <c r="K33" s="286"/>
    </row>
    <row r="34" spans="1:11" ht="12.75">
      <c r="A34" s="201"/>
      <c r="B34" s="201"/>
      <c r="C34" s="253" t="s">
        <v>1625</v>
      </c>
      <c r="D34" s="286"/>
      <c r="E34" s="286"/>
      <c r="F34" s="1013"/>
      <c r="G34" s="286"/>
      <c r="H34" s="1012"/>
      <c r="I34" s="286"/>
      <c r="J34" s="286"/>
      <c r="K34" s="286"/>
    </row>
    <row r="35" spans="1:11" ht="12.75">
      <c r="A35" s="201"/>
      <c r="B35" s="201"/>
      <c r="C35" s="253" t="s">
        <v>1626</v>
      </c>
      <c r="D35" s="286"/>
      <c r="E35" s="286"/>
      <c r="F35" s="1013"/>
      <c r="G35" s="286"/>
      <c r="H35" s="1012"/>
      <c r="I35" s="286"/>
      <c r="J35" s="286"/>
      <c r="K35" s="286"/>
    </row>
    <row r="36" spans="1:11" ht="12.75">
      <c r="A36" s="201"/>
      <c r="B36" s="201"/>
      <c r="C36" s="253" t="s">
        <v>1627</v>
      </c>
      <c r="D36" s="286"/>
      <c r="E36" s="286"/>
      <c r="F36" s="1013"/>
      <c r="G36" s="286"/>
      <c r="H36" s="1012"/>
      <c r="I36" s="286"/>
      <c r="J36" s="286"/>
      <c r="K36" s="286"/>
    </row>
    <row r="37" spans="1:11" ht="12.75">
      <c r="A37" s="201"/>
      <c r="B37" s="201"/>
      <c r="C37" s="253" t="s">
        <v>1628</v>
      </c>
      <c r="D37" s="286"/>
      <c r="E37" s="286"/>
      <c r="F37" s="1013"/>
      <c r="G37" s="286"/>
      <c r="H37" s="1012"/>
      <c r="I37" s="286"/>
      <c r="J37" s="286"/>
      <c r="K37" s="286"/>
    </row>
    <row r="38" spans="1:11" ht="12.75">
      <c r="A38" s="201"/>
      <c r="B38" s="201"/>
      <c r="C38" s="253" t="s">
        <v>1629</v>
      </c>
      <c r="D38" s="286"/>
      <c r="E38" s="286"/>
      <c r="F38" s="1013"/>
      <c r="G38" s="286"/>
      <c r="H38" s="1012"/>
      <c r="I38" s="286"/>
      <c r="J38" s="286"/>
      <c r="K38" s="286"/>
    </row>
    <row r="39" spans="1:11" ht="25.5">
      <c r="A39" s="201"/>
      <c r="B39" s="201"/>
      <c r="C39" s="253" t="s">
        <v>1630</v>
      </c>
      <c r="D39" s="286"/>
      <c r="E39" s="286"/>
      <c r="F39" s="1013"/>
      <c r="G39" s="286"/>
      <c r="H39" s="1012"/>
      <c r="I39" s="286"/>
      <c r="J39" s="286"/>
      <c r="K39" s="286"/>
    </row>
    <row r="40" spans="1:11" ht="12.75">
      <c r="A40" s="201"/>
      <c r="B40" s="201"/>
      <c r="C40" s="253" t="s">
        <v>1631</v>
      </c>
      <c r="D40" s="286"/>
      <c r="E40" s="286"/>
      <c r="F40" s="1013">
        <v>4574372</v>
      </c>
      <c r="G40" s="286"/>
      <c r="H40" s="1012">
        <v>6771643</v>
      </c>
      <c r="I40" s="286">
        <v>5353574</v>
      </c>
      <c r="J40" s="286"/>
      <c r="K40" s="286"/>
    </row>
    <row r="41" spans="1:11" ht="12.75">
      <c r="A41" s="201"/>
      <c r="B41" s="201"/>
      <c r="C41" s="253" t="s">
        <v>1632</v>
      </c>
      <c r="D41" s="286"/>
      <c r="E41" s="286"/>
      <c r="F41" s="1013"/>
      <c r="G41" s="286"/>
      <c r="H41" s="1012"/>
      <c r="I41" s="286"/>
      <c r="J41" s="286"/>
      <c r="K41" s="286"/>
    </row>
    <row r="42" spans="1:11" ht="12.75">
      <c r="A42" s="201"/>
      <c r="B42" s="201"/>
      <c r="C42" s="253" t="s">
        <v>1382</v>
      </c>
      <c r="D42" s="286"/>
      <c r="E42" s="286"/>
      <c r="F42" s="1013"/>
      <c r="G42" s="286"/>
      <c r="H42" s="1012"/>
      <c r="I42" s="286"/>
      <c r="J42" s="286"/>
      <c r="K42" s="286"/>
    </row>
    <row r="43" spans="1:11" ht="14.25" customHeight="1">
      <c r="A43" s="201"/>
      <c r="B43" s="201"/>
      <c r="C43" s="253" t="s">
        <v>1633</v>
      </c>
      <c r="D43" s="286"/>
      <c r="E43" s="286"/>
      <c r="F43" s="1013">
        <v>659625</v>
      </c>
      <c r="G43" s="286"/>
      <c r="H43" s="1012">
        <f>7819833-H40</f>
        <v>1048190</v>
      </c>
      <c r="I43" s="286">
        <f>52732+1320903+593106</f>
        <v>1966741</v>
      </c>
      <c r="J43" s="286"/>
      <c r="K43" s="286"/>
    </row>
    <row r="44" spans="1:11" ht="12.75">
      <c r="A44" s="201"/>
      <c r="B44" s="201"/>
      <c r="C44" s="253" t="s">
        <v>1634</v>
      </c>
      <c r="D44" s="286"/>
      <c r="E44" s="286"/>
      <c r="F44" s="1013"/>
      <c r="G44" s="286"/>
      <c r="H44" s="1012"/>
      <c r="I44" s="286">
        <v>4771359</v>
      </c>
      <c r="J44" s="286"/>
      <c r="K44" s="286"/>
    </row>
    <row r="45" spans="1:11" ht="12.75">
      <c r="A45" s="201"/>
      <c r="B45" s="201"/>
      <c r="C45" s="253" t="s">
        <v>1635</v>
      </c>
      <c r="D45" s="286"/>
      <c r="E45" s="286"/>
      <c r="F45" s="1013">
        <v>-1243506</v>
      </c>
      <c r="G45" s="286"/>
      <c r="H45" s="1012">
        <v>2226779</v>
      </c>
      <c r="I45" s="286"/>
      <c r="J45" s="286"/>
      <c r="K45" s="286"/>
    </row>
    <row r="46" spans="1:11" ht="12.75">
      <c r="A46" s="201"/>
      <c r="B46" s="201"/>
      <c r="C46" s="253" t="s">
        <v>1636</v>
      </c>
      <c r="D46" s="286"/>
      <c r="E46" s="286"/>
      <c r="F46" s="1013"/>
      <c r="G46" s="286"/>
      <c r="H46" s="1012"/>
      <c r="I46" s="286"/>
      <c r="J46" s="286"/>
      <c r="K46" s="286"/>
    </row>
    <row r="47" spans="1:11" ht="12.75">
      <c r="A47" s="201"/>
      <c r="B47" s="201"/>
      <c r="C47" s="253" t="s">
        <v>1637</v>
      </c>
      <c r="D47" s="286"/>
      <c r="E47" s="286"/>
      <c r="F47" s="1013"/>
      <c r="G47" s="286"/>
      <c r="H47" s="1012"/>
      <c r="I47" s="286"/>
      <c r="J47" s="286"/>
      <c r="K47" s="286"/>
    </row>
    <row r="48" spans="1:11" ht="12.75">
      <c r="A48" s="201"/>
      <c r="B48" s="201"/>
      <c r="C48" s="253" t="s">
        <v>1638</v>
      </c>
      <c r="D48" s="286"/>
      <c r="E48" s="286"/>
      <c r="F48" s="1013">
        <v>1237807</v>
      </c>
      <c r="G48" s="286"/>
      <c r="H48" s="1012">
        <v>1216662</v>
      </c>
      <c r="I48" s="286">
        <v>1270000</v>
      </c>
      <c r="J48" s="286"/>
      <c r="K48" s="286"/>
    </row>
    <row r="49" spans="1:11" ht="12.75">
      <c r="A49" s="201"/>
      <c r="B49" s="201"/>
      <c r="C49" s="253" t="s">
        <v>1382</v>
      </c>
      <c r="D49" s="286"/>
      <c r="E49" s="286"/>
      <c r="F49" s="1013"/>
      <c r="G49" s="286"/>
      <c r="H49" s="1012"/>
      <c r="I49" s="286"/>
      <c r="J49" s="286"/>
      <c r="K49" s="286"/>
    </row>
    <row r="50" spans="1:11" ht="12.75">
      <c r="A50" s="201"/>
      <c r="B50" s="201"/>
      <c r="C50" s="253" t="s">
        <v>1639</v>
      </c>
      <c r="D50" s="286"/>
      <c r="E50" s="286"/>
      <c r="F50" s="1013"/>
      <c r="G50" s="286"/>
      <c r="H50" s="1012"/>
      <c r="I50" s="286"/>
      <c r="J50" s="286"/>
      <c r="K50" s="286"/>
    </row>
    <row r="51" spans="1:11" ht="12.75">
      <c r="A51" s="201"/>
      <c r="B51" s="201"/>
      <c r="C51" s="253" t="s">
        <v>1640</v>
      </c>
      <c r="D51" s="286"/>
      <c r="E51" s="286"/>
      <c r="F51" s="1013"/>
      <c r="G51" s="286"/>
      <c r="H51" s="1012"/>
      <c r="I51" s="286"/>
      <c r="J51" s="286"/>
      <c r="K51" s="286"/>
    </row>
    <row r="52" spans="1:11" ht="12.75">
      <c r="A52" s="201"/>
      <c r="B52" s="201"/>
      <c r="C52" s="253" t="s">
        <v>1641</v>
      </c>
      <c r="D52" s="286"/>
      <c r="E52" s="286"/>
      <c r="F52" s="1013"/>
      <c r="G52" s="286"/>
      <c r="H52" s="1012"/>
      <c r="I52" s="286"/>
      <c r="J52" s="286"/>
      <c r="K52" s="286"/>
    </row>
    <row r="53" spans="1:11" ht="12.75">
      <c r="A53" s="201"/>
      <c r="B53" s="201"/>
      <c r="C53" s="253" t="s">
        <v>1642</v>
      </c>
      <c r="D53" s="286"/>
      <c r="E53" s="286"/>
      <c r="F53" s="1013"/>
      <c r="G53" s="286"/>
      <c r="H53" s="1012"/>
      <c r="I53" s="286"/>
      <c r="J53" s="286"/>
      <c r="K53" s="286"/>
    </row>
    <row r="54" spans="1:11" ht="12.75">
      <c r="A54" s="201"/>
      <c r="B54" s="201"/>
      <c r="C54" s="253" t="s">
        <v>1643</v>
      </c>
      <c r="D54" s="286"/>
      <c r="E54" s="286"/>
      <c r="F54" s="1013"/>
      <c r="G54" s="286"/>
      <c r="H54" s="1012"/>
      <c r="I54" s="286"/>
      <c r="J54" s="286"/>
      <c r="K54" s="286"/>
    </row>
    <row r="55" spans="1:11" ht="12.75">
      <c r="A55" s="201"/>
      <c r="B55" s="201"/>
      <c r="C55" s="253" t="s">
        <v>1644</v>
      </c>
      <c r="D55" s="286"/>
      <c r="E55" s="286"/>
      <c r="F55" s="1013"/>
      <c r="G55" s="286"/>
      <c r="H55" s="1012"/>
      <c r="I55" s="286"/>
      <c r="J55" s="286"/>
      <c r="K55" s="286"/>
    </row>
    <row r="56" spans="1:11" ht="12.75">
      <c r="A56" s="201"/>
      <c r="B56" s="201"/>
      <c r="C56" s="253" t="s">
        <v>1382</v>
      </c>
      <c r="D56" s="286"/>
      <c r="E56" s="286"/>
      <c r="F56" s="1013"/>
      <c r="G56" s="286"/>
      <c r="H56" s="1012"/>
      <c r="I56" s="286"/>
      <c r="J56" s="286"/>
      <c r="K56" s="286"/>
    </row>
    <row r="57" spans="1:11" ht="12.75">
      <c r="A57" s="201"/>
      <c r="B57" s="201"/>
      <c r="C57" s="253" t="s">
        <v>1645</v>
      </c>
      <c r="D57" s="286"/>
      <c r="E57" s="286"/>
      <c r="F57" s="1013">
        <f>SUM(F31:F55)</f>
        <v>104753791</v>
      </c>
      <c r="G57" s="286"/>
      <c r="H57" s="1012">
        <f>SUM(H31:H55)</f>
        <v>126292046</v>
      </c>
      <c r="I57" s="1012">
        <f>SUM(I31:I55)</f>
        <v>128810564</v>
      </c>
      <c r="J57" s="286"/>
      <c r="K57" s="286"/>
    </row>
    <row r="58" spans="1:11" ht="15" customHeight="1">
      <c r="A58" s="201"/>
      <c r="B58" s="201">
        <v>7</v>
      </c>
      <c r="C58" s="253" t="s">
        <v>1646</v>
      </c>
      <c r="D58" s="286"/>
      <c r="E58" s="286"/>
      <c r="F58" s="1013"/>
      <c r="G58" s="286"/>
      <c r="H58" s="1012"/>
      <c r="I58" s="286"/>
      <c r="J58" s="286"/>
      <c r="K58" s="286"/>
    </row>
    <row r="59" spans="1:11" ht="12.75">
      <c r="A59" s="201"/>
      <c r="B59" s="201">
        <v>8</v>
      </c>
      <c r="C59" s="253" t="s">
        <v>1647</v>
      </c>
      <c r="D59" s="286"/>
      <c r="E59" s="286"/>
      <c r="F59" s="1013">
        <f>F17+F18+F19+F20+F29+F57</f>
        <v>157372056</v>
      </c>
      <c r="G59" s="286"/>
      <c r="H59" s="1012">
        <f>H17+H18+H19+H20+H29+H57</f>
        <v>168069810</v>
      </c>
      <c r="I59" s="1012">
        <f>I17+I18+I19+I20+I29+I57</f>
        <v>190807663</v>
      </c>
      <c r="J59" s="286"/>
      <c r="K59" s="286"/>
    </row>
    <row r="60" spans="1:11" ht="12.75">
      <c r="A60" s="201"/>
      <c r="B60" s="201"/>
      <c r="C60" s="253" t="s">
        <v>1648</v>
      </c>
      <c r="D60" s="286"/>
      <c r="E60" s="286"/>
      <c r="F60" s="455"/>
      <c r="G60" s="286"/>
      <c r="H60" s="286"/>
      <c r="I60" s="286"/>
      <c r="J60" s="286"/>
      <c r="K60" s="286"/>
    </row>
    <row r="61" spans="1:11" ht="12.75">
      <c r="A61" s="201"/>
      <c r="B61" s="201"/>
      <c r="C61" s="330" t="s">
        <v>1649</v>
      </c>
      <c r="D61" s="286"/>
      <c r="E61" s="286"/>
      <c r="F61" s="455"/>
      <c r="G61" s="286"/>
      <c r="H61" s="286"/>
      <c r="I61" s="286"/>
      <c r="J61" s="286"/>
      <c r="K61" s="286"/>
    </row>
    <row r="62" spans="1:11" ht="12.75">
      <c r="A62" s="201"/>
      <c r="B62" s="201"/>
      <c r="C62" s="201"/>
      <c r="D62" s="201"/>
      <c r="E62" s="201"/>
      <c r="F62" s="201"/>
      <c r="G62" s="201"/>
      <c r="H62" s="453"/>
      <c r="I62" s="453"/>
      <c r="J62" s="453"/>
      <c r="K62" s="453"/>
    </row>
    <row r="63" spans="1:11" ht="12.75">
      <c r="A63" s="201"/>
      <c r="B63" s="201"/>
      <c r="C63" s="201" t="s">
        <v>1650</v>
      </c>
      <c r="D63" s="201"/>
      <c r="E63" s="201"/>
      <c r="F63" s="201"/>
      <c r="G63" s="201"/>
      <c r="H63" s="453"/>
      <c r="I63" s="453"/>
      <c r="J63" s="453"/>
      <c r="K63" s="453"/>
    </row>
    <row r="64" spans="1:11" ht="12.75">
      <c r="A64" s="201"/>
      <c r="B64" s="201"/>
      <c r="C64" s="201" t="s">
        <v>1651</v>
      </c>
      <c r="D64" s="201"/>
      <c r="E64" s="201"/>
      <c r="F64" s="201"/>
      <c r="G64" s="201"/>
      <c r="H64" s="453"/>
      <c r="I64" s="453"/>
      <c r="J64" s="453"/>
      <c r="K64" s="453"/>
    </row>
    <row r="65" spans="1:11" ht="12.75">
      <c r="A65" s="201"/>
      <c r="B65" s="201"/>
      <c r="C65" s="201" t="s">
        <v>1652</v>
      </c>
      <c r="D65" s="201"/>
      <c r="E65" s="201"/>
      <c r="F65" s="201"/>
      <c r="G65" s="201"/>
      <c r="H65" s="453"/>
      <c r="I65" s="453"/>
      <c r="J65" s="453"/>
      <c r="K65" s="453"/>
    </row>
    <row r="66" spans="1:11" ht="12.75">
      <c r="A66" s="201"/>
      <c r="B66" s="201"/>
      <c r="C66" s="201" t="s">
        <v>1653</v>
      </c>
      <c r="D66" s="201"/>
      <c r="E66" s="201"/>
      <c r="F66" s="201"/>
      <c r="G66" s="201"/>
      <c r="H66" s="453"/>
      <c r="I66" s="453"/>
      <c r="J66" s="453"/>
      <c r="K66" s="453"/>
    </row>
    <row r="67" spans="1:11" ht="12.75">
      <c r="A67" s="201"/>
      <c r="B67" s="201"/>
      <c r="C67" s="201"/>
      <c r="D67" s="201"/>
      <c r="E67" s="201"/>
      <c r="F67" s="201"/>
      <c r="G67" s="201"/>
      <c r="H67" s="453"/>
      <c r="I67" s="453"/>
      <c r="J67" s="453"/>
      <c r="K67" s="453"/>
    </row>
    <row r="68" spans="1:11" ht="12.75">
      <c r="A68" s="201"/>
      <c r="B68" s="201" t="s">
        <v>1457</v>
      </c>
      <c r="C68" s="253" t="s">
        <v>1654</v>
      </c>
      <c r="D68" s="286"/>
      <c r="E68" s="286"/>
      <c r="F68" s="286"/>
      <c r="G68" s="286"/>
      <c r="H68" s="455"/>
      <c r="I68" s="455"/>
      <c r="J68" s="455"/>
      <c r="K68" s="455"/>
    </row>
    <row r="69" spans="1:11" ht="12.75">
      <c r="A69" s="201"/>
      <c r="B69" s="201"/>
      <c r="C69" s="253" t="s">
        <v>1655</v>
      </c>
      <c r="D69" s="286"/>
      <c r="E69" s="286"/>
      <c r="F69" s="286"/>
      <c r="G69" s="286"/>
      <c r="H69" s="455"/>
      <c r="I69" s="455"/>
      <c r="J69" s="455"/>
      <c r="K69" s="455"/>
    </row>
    <row r="70" spans="1:11" ht="12.75">
      <c r="A70" s="201"/>
      <c r="B70" s="201"/>
      <c r="C70" s="253" t="s">
        <v>1656</v>
      </c>
      <c r="D70" s="286"/>
      <c r="E70" s="286"/>
      <c r="F70" s="286"/>
      <c r="G70" s="286"/>
      <c r="H70" s="455"/>
      <c r="I70" s="455"/>
      <c r="J70" s="455"/>
      <c r="K70" s="455"/>
    </row>
    <row r="71" spans="1:11" ht="12.75">
      <c r="A71" s="201"/>
      <c r="B71" s="201"/>
      <c r="C71" s="253" t="s">
        <v>1657</v>
      </c>
      <c r="D71" s="286"/>
      <c r="E71" s="286"/>
      <c r="F71" s="286"/>
      <c r="G71" s="286"/>
      <c r="H71" s="455"/>
      <c r="I71" s="455"/>
      <c r="J71" s="455"/>
      <c r="K71" s="455"/>
    </row>
    <row r="72" spans="1:11" ht="12.75">
      <c r="A72" s="201"/>
      <c r="B72" s="201"/>
      <c r="C72" s="253" t="s">
        <v>1658</v>
      </c>
      <c r="D72" s="286"/>
      <c r="E72" s="286"/>
      <c r="F72" s="286"/>
      <c r="G72" s="286"/>
      <c r="H72" s="455"/>
      <c r="I72" s="455"/>
      <c r="J72" s="455"/>
      <c r="K72" s="455"/>
    </row>
    <row r="73" spans="1:11" ht="12.75">
      <c r="A73" s="201"/>
      <c r="B73" s="201"/>
      <c r="C73" s="253" t="s">
        <v>1659</v>
      </c>
      <c r="D73" s="286"/>
      <c r="E73" s="286"/>
      <c r="F73" s="286"/>
      <c r="G73" s="286"/>
      <c r="H73" s="455"/>
      <c r="I73" s="455"/>
      <c r="J73" s="455"/>
      <c r="K73" s="455"/>
    </row>
    <row r="74" spans="1:11" ht="12.75">
      <c r="A74" s="201"/>
      <c r="B74" s="201"/>
      <c r="C74" s="253" t="s">
        <v>1660</v>
      </c>
      <c r="D74" s="286"/>
      <c r="E74" s="286"/>
      <c r="F74" s="286" t="s">
        <v>1510</v>
      </c>
      <c r="G74" s="286"/>
      <c r="H74" s="455"/>
      <c r="I74" s="455"/>
      <c r="J74" s="455"/>
      <c r="K74" s="455"/>
    </row>
    <row r="75" spans="1:11" ht="12.75">
      <c r="A75" s="201"/>
      <c r="B75" s="201"/>
      <c r="C75" s="253" t="s">
        <v>1661</v>
      </c>
      <c r="D75" s="286"/>
      <c r="E75" s="286"/>
      <c r="F75" s="286"/>
      <c r="G75" s="286"/>
      <c r="H75" s="455"/>
      <c r="I75" s="455"/>
      <c r="J75" s="455"/>
      <c r="K75" s="455"/>
    </row>
    <row r="76" spans="1:11" ht="12.75">
      <c r="A76" s="201"/>
      <c r="B76" s="201"/>
      <c r="C76" s="253" t="s">
        <v>1613</v>
      </c>
      <c r="D76" s="286"/>
      <c r="E76" s="286"/>
      <c r="F76" s="286"/>
      <c r="G76" s="286"/>
      <c r="H76" s="455"/>
      <c r="I76" s="455"/>
      <c r="J76" s="455"/>
      <c r="K76" s="455"/>
    </row>
    <row r="77" spans="1:11" ht="12.75">
      <c r="A77" s="201"/>
      <c r="B77" s="201"/>
      <c r="C77" s="253" t="s">
        <v>1662</v>
      </c>
      <c r="D77" s="286"/>
      <c r="E77" s="286"/>
      <c r="F77" s="286"/>
      <c r="G77" s="286"/>
      <c r="H77" s="455"/>
      <c r="I77" s="455"/>
      <c r="J77" s="455"/>
      <c r="K77" s="455"/>
    </row>
    <row r="78" spans="1:11" ht="12.75">
      <c r="A78" s="201"/>
      <c r="B78" s="201"/>
      <c r="C78" s="253" t="s">
        <v>1382</v>
      </c>
      <c r="D78" s="286"/>
      <c r="E78" s="286"/>
      <c r="F78" s="286"/>
      <c r="G78" s="286"/>
      <c r="H78" s="455"/>
      <c r="I78" s="455"/>
      <c r="J78" s="455"/>
      <c r="K78" s="455"/>
    </row>
    <row r="79" spans="1:11" ht="12.75">
      <c r="A79" s="201"/>
      <c r="B79" s="201"/>
      <c r="C79" s="253"/>
      <c r="D79" s="286"/>
      <c r="E79" s="286"/>
      <c r="F79" s="286"/>
      <c r="G79" s="286"/>
      <c r="H79" s="455"/>
      <c r="I79" s="455"/>
      <c r="J79" s="455"/>
      <c r="K79" s="455"/>
    </row>
    <row r="80" spans="1:11" ht="12.75">
      <c r="A80" s="201"/>
      <c r="B80" s="201" t="s">
        <v>1453</v>
      </c>
      <c r="C80" s="253" t="s">
        <v>1663</v>
      </c>
      <c r="D80" s="286"/>
      <c r="E80" s="286"/>
      <c r="F80" s="286"/>
      <c r="G80" s="286"/>
      <c r="H80" s="455"/>
      <c r="I80" s="455"/>
      <c r="J80" s="455"/>
      <c r="K80" s="455"/>
    </row>
    <row r="81" spans="1:11" ht="12.75">
      <c r="A81" s="201"/>
      <c r="B81" s="201"/>
      <c r="C81" s="253" t="s">
        <v>1664</v>
      </c>
      <c r="D81" s="286"/>
      <c r="E81" s="286"/>
      <c r="F81" s="286">
        <v>13</v>
      </c>
      <c r="G81" s="286">
        <v>13</v>
      </c>
      <c r="H81" s="455">
        <v>13</v>
      </c>
      <c r="I81" s="335">
        <v>39</v>
      </c>
      <c r="J81" s="335">
        <v>39</v>
      </c>
      <c r="K81" s="335">
        <v>39</v>
      </c>
    </row>
    <row r="82" spans="1:11" ht="12.75">
      <c r="A82" s="201"/>
      <c r="B82" s="201"/>
      <c r="C82" s="253" t="s">
        <v>1665</v>
      </c>
      <c r="D82" s="286"/>
      <c r="E82" s="286"/>
      <c r="F82" s="286">
        <v>32</v>
      </c>
      <c r="G82" s="286">
        <v>32</v>
      </c>
      <c r="H82" s="455">
        <v>32</v>
      </c>
      <c r="I82" s="335">
        <v>14</v>
      </c>
      <c r="J82" s="335">
        <v>14</v>
      </c>
      <c r="K82" s="335">
        <v>14</v>
      </c>
    </row>
    <row r="83" spans="1:11" ht="12.75">
      <c r="A83" s="201"/>
      <c r="B83" s="201"/>
      <c r="C83" s="253" t="s">
        <v>1666</v>
      </c>
      <c r="D83" s="286"/>
      <c r="E83" s="286"/>
      <c r="F83" s="286">
        <v>66</v>
      </c>
      <c r="G83" s="286">
        <v>66</v>
      </c>
      <c r="H83" s="455">
        <v>66</v>
      </c>
      <c r="I83" s="335">
        <v>47</v>
      </c>
      <c r="J83" s="335">
        <v>47</v>
      </c>
      <c r="K83" s="335">
        <v>47</v>
      </c>
    </row>
    <row r="84" spans="1:11" ht="12.75">
      <c r="A84" s="201"/>
      <c r="B84" s="201"/>
      <c r="C84" s="253" t="s">
        <v>1667</v>
      </c>
      <c r="D84" s="286"/>
      <c r="E84" s="286"/>
      <c r="F84" s="286">
        <v>18</v>
      </c>
      <c r="G84" s="286">
        <v>18</v>
      </c>
      <c r="H84" s="455">
        <v>18</v>
      </c>
      <c r="I84" s="335">
        <v>17</v>
      </c>
      <c r="J84" s="335">
        <v>17</v>
      </c>
      <c r="K84" s="335">
        <v>17</v>
      </c>
    </row>
    <row r="85" spans="1:11" ht="12.75">
      <c r="A85" s="201"/>
      <c r="B85" s="201"/>
      <c r="C85" s="253" t="s">
        <v>1382</v>
      </c>
      <c r="D85" s="286"/>
      <c r="E85" s="286"/>
      <c r="F85" s="286">
        <f aca="true" t="shared" si="0" ref="F85:K85">SUM(F81:F84)</f>
        <v>129</v>
      </c>
      <c r="G85" s="286">
        <f t="shared" si="0"/>
        <v>129</v>
      </c>
      <c r="H85" s="455">
        <f t="shared" si="0"/>
        <v>129</v>
      </c>
      <c r="I85" s="335">
        <f t="shared" si="0"/>
        <v>117</v>
      </c>
      <c r="J85" s="335">
        <f t="shared" si="0"/>
        <v>117</v>
      </c>
      <c r="K85" s="335">
        <f t="shared" si="0"/>
        <v>117</v>
      </c>
    </row>
    <row r="86" spans="1:11" ht="12.75">
      <c r="A86" s="201"/>
      <c r="B86" s="201"/>
      <c r="C86" s="388"/>
      <c r="D86" s="389"/>
      <c r="E86" s="389"/>
      <c r="F86" s="389"/>
      <c r="G86" s="389"/>
      <c r="H86" s="389"/>
      <c r="I86" s="389"/>
      <c r="J86" s="389"/>
      <c r="K86" s="389"/>
    </row>
    <row r="87" spans="1:11" ht="24.75" customHeight="1">
      <c r="A87" s="390"/>
      <c r="B87" s="1134"/>
      <c r="C87" s="1134"/>
      <c r="D87" s="1134"/>
      <c r="E87" s="1134"/>
      <c r="F87" s="1134"/>
      <c r="G87" s="1134"/>
      <c r="H87" s="1134"/>
      <c r="I87" s="1134"/>
      <c r="J87" s="1134"/>
      <c r="K87" s="1134"/>
    </row>
    <row r="88" spans="1:11" ht="24.75" customHeight="1">
      <c r="A88" s="390"/>
      <c r="B88" s="1134"/>
      <c r="C88" s="1134"/>
      <c r="D88" s="1134"/>
      <c r="E88" s="1134"/>
      <c r="F88" s="1134"/>
      <c r="G88" s="1134"/>
      <c r="H88" s="1134"/>
      <c r="I88" s="1134"/>
      <c r="J88" s="1134"/>
      <c r="K88" s="1134"/>
    </row>
    <row r="89" spans="1:11" ht="12.75" customHeight="1">
      <c r="A89" s="390"/>
      <c r="B89" s="1134"/>
      <c r="C89" s="1134"/>
      <c r="D89" s="1134"/>
      <c r="E89" s="1134"/>
      <c r="F89" s="1134"/>
      <c r="G89" s="1134"/>
      <c r="H89" s="1134"/>
      <c r="I89" s="1134"/>
      <c r="J89" s="1134"/>
      <c r="K89" s="1134"/>
    </row>
  </sheetData>
  <sheetProtection/>
  <mergeCells count="4">
    <mergeCell ref="G13:H13"/>
    <mergeCell ref="B87:K87"/>
    <mergeCell ref="B88:K88"/>
    <mergeCell ref="B89:K89"/>
  </mergeCells>
  <printOptions/>
  <pageMargins left="0.39" right="0.32" top="1" bottom="1" header="0.5" footer="0.5"/>
  <pageSetup horizontalDpi="600" verticalDpi="600" orientation="portrait" scale="76" r:id="rId1"/>
</worksheet>
</file>

<file path=xl/worksheets/sheet50.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33203125" defaultRowHeight="12.75"/>
  <cols>
    <col min="1" max="1" width="11.16015625" style="0" customWidth="1"/>
    <col min="2" max="2" width="99.16015625" style="0" customWidth="1"/>
    <col min="3" max="3" width="18" style="0" customWidth="1"/>
    <col min="4" max="4" width="2.66015625" style="0" customWidth="1"/>
  </cols>
  <sheetData>
    <row r="1" spans="1:4" ht="17.25" customHeight="1">
      <c r="A1" s="1251" t="s">
        <v>91</v>
      </c>
      <c r="B1" s="1251"/>
      <c r="C1" s="1251"/>
      <c r="D1" s="1251"/>
    </row>
    <row r="2" spans="1:3" ht="18.75" customHeight="1">
      <c r="A2" s="8" t="s">
        <v>92</v>
      </c>
      <c r="B2" s="1" t="s">
        <v>93</v>
      </c>
      <c r="C2" s="2" t="s">
        <v>3</v>
      </c>
    </row>
    <row r="3" spans="1:3" ht="45" customHeight="1">
      <c r="A3" s="9">
        <v>1</v>
      </c>
      <c r="B3" s="5" t="s">
        <v>94</v>
      </c>
      <c r="C3" s="6"/>
    </row>
    <row r="4" spans="1:3" ht="90" customHeight="1">
      <c r="A4" s="9">
        <v>2</v>
      </c>
      <c r="B4" s="5" t="s">
        <v>95</v>
      </c>
      <c r="C4" s="5"/>
    </row>
    <row r="5" spans="1:3" ht="19.5" customHeight="1">
      <c r="A5" s="9">
        <v>3</v>
      </c>
      <c r="B5" s="3" t="s">
        <v>96</v>
      </c>
      <c r="C5" s="4"/>
    </row>
    <row r="6" spans="1:3" ht="34.5" customHeight="1">
      <c r="A6" s="9">
        <v>4</v>
      </c>
      <c r="B6" s="5" t="s">
        <v>97</v>
      </c>
      <c r="C6" s="6"/>
    </row>
    <row r="7" spans="1:3" ht="34.5" customHeight="1">
      <c r="A7" s="9">
        <v>5</v>
      </c>
      <c r="B7" s="5" t="s">
        <v>98</v>
      </c>
      <c r="C7" s="6"/>
    </row>
    <row r="8" spans="1:3" ht="20.25" customHeight="1">
      <c r="A8" s="9">
        <v>6</v>
      </c>
      <c r="B8" s="3" t="s">
        <v>99</v>
      </c>
      <c r="C8" s="4"/>
    </row>
    <row r="9" spans="1:3" ht="90" customHeight="1">
      <c r="A9" s="9">
        <v>7</v>
      </c>
      <c r="B9" s="5" t="s">
        <v>100</v>
      </c>
      <c r="C9" s="5"/>
    </row>
    <row r="10" spans="1:3" ht="105" customHeight="1">
      <c r="A10" s="9">
        <v>8</v>
      </c>
      <c r="B10" s="5" t="s">
        <v>101</v>
      </c>
      <c r="C10" s="5"/>
    </row>
    <row r="11" spans="1:3" ht="19.5" customHeight="1">
      <c r="A11" s="9">
        <v>9</v>
      </c>
      <c r="B11" s="3" t="s">
        <v>102</v>
      </c>
      <c r="C11" s="4"/>
    </row>
    <row r="12" spans="1:3" ht="34.5" customHeight="1">
      <c r="A12" s="10">
        <v>10</v>
      </c>
      <c r="B12" s="5" t="s">
        <v>103</v>
      </c>
      <c r="C12" s="6"/>
    </row>
    <row r="13" spans="1:3" ht="60" customHeight="1">
      <c r="A13" s="10">
        <v>11</v>
      </c>
      <c r="B13" s="5" t="s">
        <v>104</v>
      </c>
      <c r="C13" s="5"/>
    </row>
    <row r="14" spans="1:4" ht="48.75" customHeight="1">
      <c r="A14" s="1379" t="s">
        <v>105</v>
      </c>
      <c r="B14" s="1379"/>
      <c r="C14" s="1379"/>
      <c r="D14" s="1379"/>
    </row>
  </sheetData>
  <sheetProtection/>
  <mergeCells count="2">
    <mergeCell ref="A1:D1"/>
    <mergeCell ref="A14:D14"/>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K25"/>
  <sheetViews>
    <sheetView zoomScalePageLayoutView="0" workbookViewId="0" topLeftCell="A19">
      <selection activeCell="K5" sqref="K5"/>
    </sheetView>
  </sheetViews>
  <sheetFormatPr defaultColWidth="9.33203125" defaultRowHeight="12.75"/>
  <cols>
    <col min="1" max="1" width="8.5" style="0" customWidth="1"/>
    <col min="2" max="2" width="56.83203125" style="0" customWidth="1"/>
    <col min="3" max="3" width="12" style="0" customWidth="1"/>
    <col min="4" max="4" width="12.5" style="0" customWidth="1"/>
    <col min="5" max="6" width="12.16015625" style="0" customWidth="1"/>
    <col min="7" max="7" width="4.66015625" style="0" customWidth="1"/>
    <col min="8" max="8" width="7.5" style="0" customWidth="1"/>
    <col min="9" max="9" width="12" style="0" customWidth="1"/>
    <col min="10" max="10" width="12.16015625" style="0" customWidth="1"/>
    <col min="11" max="11" width="13.16015625" style="0" customWidth="1"/>
  </cols>
  <sheetData>
    <row r="1" spans="1:11" ht="62.25" customHeight="1">
      <c r="A1" s="1380" t="s">
        <v>106</v>
      </c>
      <c r="B1" s="1380"/>
      <c r="C1" s="1380"/>
      <c r="D1" s="1380"/>
      <c r="E1" s="1380"/>
      <c r="F1" s="1380"/>
      <c r="G1" s="1380"/>
      <c r="H1" s="1381" t="s">
        <v>107</v>
      </c>
      <c r="I1" s="1381"/>
      <c r="J1" s="1381"/>
      <c r="K1" s="1381"/>
    </row>
    <row r="2" spans="1:11" ht="51.75" customHeight="1">
      <c r="A2" s="1250" t="s">
        <v>108</v>
      </c>
      <c r="B2" s="1250"/>
      <c r="C2" s="1250"/>
      <c r="D2" s="1250"/>
      <c r="E2" s="1250"/>
      <c r="F2" s="1250"/>
      <c r="G2" s="1250"/>
      <c r="H2" s="1250"/>
      <c r="I2" s="1250"/>
      <c r="J2" s="1250"/>
      <c r="K2" s="1250"/>
    </row>
    <row r="3" spans="1:10" ht="34.5" customHeight="1">
      <c r="A3" s="1" t="s">
        <v>92</v>
      </c>
      <c r="B3" s="2" t="s">
        <v>109</v>
      </c>
      <c r="C3" s="2" t="s">
        <v>110</v>
      </c>
      <c r="D3" s="5" t="s">
        <v>111</v>
      </c>
      <c r="E3" s="2" t="s">
        <v>112</v>
      </c>
      <c r="F3" s="2" t="s">
        <v>113</v>
      </c>
      <c r="G3" s="1080" t="s">
        <v>114</v>
      </c>
      <c r="H3" s="1082"/>
      <c r="I3" s="2" t="s">
        <v>115</v>
      </c>
      <c r="J3" s="2" t="s">
        <v>116</v>
      </c>
    </row>
    <row r="4" spans="1:10" ht="17.25" customHeight="1">
      <c r="A4" s="11">
        <v>1</v>
      </c>
      <c r="B4" s="11">
        <v>2</v>
      </c>
      <c r="C4" s="11">
        <v>3</v>
      </c>
      <c r="D4" s="11">
        <v>4</v>
      </c>
      <c r="E4" s="11">
        <v>5</v>
      </c>
      <c r="F4" s="11">
        <v>6</v>
      </c>
      <c r="G4" s="1216">
        <v>7</v>
      </c>
      <c r="H4" s="1217"/>
      <c r="I4" s="11">
        <v>8</v>
      </c>
      <c r="J4" s="11">
        <v>9</v>
      </c>
    </row>
    <row r="5" spans="1:10" ht="17.25" customHeight="1">
      <c r="A5" s="12">
        <v>1.1</v>
      </c>
      <c r="B5" s="3" t="s">
        <v>117</v>
      </c>
      <c r="C5" s="13" t="s">
        <v>118</v>
      </c>
      <c r="D5" s="4"/>
      <c r="E5" s="4"/>
      <c r="F5" s="4"/>
      <c r="G5" s="1089"/>
      <c r="H5" s="1091"/>
      <c r="I5" s="4"/>
      <c r="J5" s="4"/>
    </row>
    <row r="6" spans="1:10" ht="17.25" customHeight="1">
      <c r="A6" s="12">
        <v>1.2</v>
      </c>
      <c r="B6" s="3" t="s">
        <v>119</v>
      </c>
      <c r="C6" s="13" t="s">
        <v>118</v>
      </c>
      <c r="D6" s="4"/>
      <c r="E6" s="4"/>
      <c r="F6" s="4"/>
      <c r="G6" s="1089"/>
      <c r="H6" s="1091"/>
      <c r="I6" s="4"/>
      <c r="J6" s="4"/>
    </row>
    <row r="7" spans="1:10" ht="17.25" customHeight="1">
      <c r="A7" s="12">
        <v>1.3</v>
      </c>
      <c r="B7" s="5" t="s">
        <v>120</v>
      </c>
      <c r="C7" s="13" t="s">
        <v>118</v>
      </c>
      <c r="D7" s="4"/>
      <c r="E7" s="4"/>
      <c r="F7" s="4"/>
      <c r="G7" s="1089"/>
      <c r="H7" s="1091"/>
      <c r="I7" s="4"/>
      <c r="J7" s="4"/>
    </row>
    <row r="8" spans="1:10" ht="17.25" customHeight="1">
      <c r="A8" s="12">
        <v>1.4</v>
      </c>
      <c r="B8" s="3" t="s">
        <v>121</v>
      </c>
      <c r="C8" s="13" t="s">
        <v>118</v>
      </c>
      <c r="D8" s="4"/>
      <c r="E8" s="4"/>
      <c r="F8" s="4"/>
      <c r="G8" s="1089"/>
      <c r="H8" s="1091"/>
      <c r="I8" s="4"/>
      <c r="J8" s="4"/>
    </row>
    <row r="9" spans="1:10" ht="17.25" customHeight="1">
      <c r="A9" s="12">
        <v>1.5</v>
      </c>
      <c r="B9" s="3" t="s">
        <v>122</v>
      </c>
      <c r="C9" s="13" t="s">
        <v>118</v>
      </c>
      <c r="D9" s="4"/>
      <c r="E9" s="4"/>
      <c r="F9" s="4"/>
      <c r="G9" s="1089"/>
      <c r="H9" s="1091"/>
      <c r="I9" s="4"/>
      <c r="J9" s="4"/>
    </row>
    <row r="10" spans="1:10" ht="17.25" customHeight="1">
      <c r="A10" s="12">
        <v>1.6</v>
      </c>
      <c r="B10" s="3" t="s">
        <v>123</v>
      </c>
      <c r="C10" s="13" t="s">
        <v>118</v>
      </c>
      <c r="D10" s="4"/>
      <c r="E10" s="4"/>
      <c r="F10" s="4"/>
      <c r="G10" s="1089"/>
      <c r="H10" s="1091"/>
      <c r="I10" s="4"/>
      <c r="J10" s="4"/>
    </row>
    <row r="11" spans="1:10" ht="34.5" customHeight="1">
      <c r="A11" s="12">
        <v>1.7</v>
      </c>
      <c r="B11" s="5" t="s">
        <v>124</v>
      </c>
      <c r="C11" s="13" t="s">
        <v>125</v>
      </c>
      <c r="D11" s="6"/>
      <c r="E11" s="6"/>
      <c r="F11" s="6"/>
      <c r="G11" s="1209"/>
      <c r="H11" s="1097"/>
      <c r="I11" s="6"/>
      <c r="J11" s="6"/>
    </row>
    <row r="12" spans="1:10" ht="17.25" customHeight="1">
      <c r="A12" s="4"/>
      <c r="B12" s="1" t="s">
        <v>126</v>
      </c>
      <c r="C12" s="13" t="s">
        <v>118</v>
      </c>
      <c r="D12" s="4"/>
      <c r="E12" s="4"/>
      <c r="F12" s="4"/>
      <c r="G12" s="1089"/>
      <c r="H12" s="1091"/>
      <c r="I12" s="4"/>
      <c r="J12" s="4"/>
    </row>
    <row r="13" spans="1:10" ht="34.5" customHeight="1">
      <c r="A13" s="12">
        <v>2.1</v>
      </c>
      <c r="B13" s="5" t="s">
        <v>127</v>
      </c>
      <c r="C13" s="13" t="s">
        <v>128</v>
      </c>
      <c r="D13" s="6"/>
      <c r="E13" s="6"/>
      <c r="F13" s="6"/>
      <c r="G13" s="1209"/>
      <c r="H13" s="1097"/>
      <c r="I13" s="6"/>
      <c r="J13" s="6"/>
    </row>
    <row r="14" spans="1:10" ht="17.25" customHeight="1">
      <c r="A14" s="4"/>
      <c r="B14" s="3" t="s">
        <v>129</v>
      </c>
      <c r="C14" s="13" t="s">
        <v>130</v>
      </c>
      <c r="D14" s="4"/>
      <c r="E14" s="4"/>
      <c r="F14" s="4"/>
      <c r="G14" s="1089"/>
      <c r="H14" s="1091"/>
      <c r="I14" s="4"/>
      <c r="J14" s="4"/>
    </row>
    <row r="15" spans="1:10" ht="34.5" customHeight="1">
      <c r="A15" s="12">
        <v>2.2</v>
      </c>
      <c r="B15" s="5" t="s">
        <v>131</v>
      </c>
      <c r="C15" s="6"/>
      <c r="D15" s="6"/>
      <c r="E15" s="6"/>
      <c r="F15" s="6"/>
      <c r="G15" s="1209"/>
      <c r="H15" s="1097"/>
      <c r="I15" s="6"/>
      <c r="J15" s="6"/>
    </row>
    <row r="16" spans="1:10" ht="17.25" customHeight="1">
      <c r="A16" s="4"/>
      <c r="B16" s="3" t="s">
        <v>129</v>
      </c>
      <c r="C16" s="4"/>
      <c r="D16" s="4"/>
      <c r="E16" s="4"/>
      <c r="F16" s="4"/>
      <c r="G16" s="1089"/>
      <c r="H16" s="1091"/>
      <c r="I16" s="4"/>
      <c r="J16" s="4"/>
    </row>
    <row r="17" spans="1:10" ht="34.5" customHeight="1">
      <c r="A17" s="12">
        <v>2.3</v>
      </c>
      <c r="B17" s="5" t="s">
        <v>132</v>
      </c>
      <c r="C17" s="13" t="s">
        <v>128</v>
      </c>
      <c r="D17" s="6"/>
      <c r="E17" s="6"/>
      <c r="F17" s="6"/>
      <c r="G17" s="1209"/>
      <c r="H17" s="1097"/>
      <c r="I17" s="6"/>
      <c r="J17" s="6"/>
    </row>
    <row r="18" spans="1:10" ht="17.25" customHeight="1">
      <c r="A18" s="4"/>
      <c r="B18" s="3" t="s">
        <v>129</v>
      </c>
      <c r="C18" s="13" t="s">
        <v>130</v>
      </c>
      <c r="D18" s="4"/>
      <c r="E18" s="4"/>
      <c r="F18" s="4"/>
      <c r="G18" s="1089"/>
      <c r="H18" s="1091"/>
      <c r="I18" s="4"/>
      <c r="J18" s="4"/>
    </row>
    <row r="19" spans="1:10" ht="34.5" customHeight="1">
      <c r="A19" s="12">
        <v>2.4</v>
      </c>
      <c r="B19" s="5" t="s">
        <v>133</v>
      </c>
      <c r="C19" s="6"/>
      <c r="D19" s="6"/>
      <c r="E19" s="6"/>
      <c r="F19" s="6"/>
      <c r="G19" s="1209"/>
      <c r="H19" s="1097"/>
      <c r="I19" s="6"/>
      <c r="J19" s="6"/>
    </row>
    <row r="20" spans="1:10" ht="17.25" customHeight="1">
      <c r="A20" s="4"/>
      <c r="B20" s="3" t="s">
        <v>129</v>
      </c>
      <c r="C20" s="4"/>
      <c r="D20" s="4"/>
      <c r="E20" s="4"/>
      <c r="F20" s="4"/>
      <c r="G20" s="1089"/>
      <c r="H20" s="1091"/>
      <c r="I20" s="4"/>
      <c r="J20" s="4"/>
    </row>
    <row r="21" spans="1:10" ht="17.25" customHeight="1">
      <c r="A21" s="11">
        <v>1</v>
      </c>
      <c r="B21" s="11">
        <v>2</v>
      </c>
      <c r="C21" s="11">
        <v>3</v>
      </c>
      <c r="D21" s="11">
        <v>4</v>
      </c>
      <c r="E21" s="11">
        <v>5</v>
      </c>
      <c r="F21" s="11">
        <v>6</v>
      </c>
      <c r="G21" s="1216">
        <v>7</v>
      </c>
      <c r="H21" s="1217"/>
      <c r="I21" s="11">
        <v>8</v>
      </c>
      <c r="J21" s="11">
        <v>9</v>
      </c>
    </row>
    <row r="22" spans="1:10" ht="17.25" customHeight="1">
      <c r="A22" s="12">
        <v>2.5</v>
      </c>
      <c r="B22" s="3" t="s">
        <v>134</v>
      </c>
      <c r="C22" s="13" t="s">
        <v>135</v>
      </c>
      <c r="D22" s="4"/>
      <c r="E22" s="4"/>
      <c r="F22" s="4"/>
      <c r="G22" s="1089"/>
      <c r="H22" s="1091"/>
      <c r="I22" s="4"/>
      <c r="J22" s="4"/>
    </row>
    <row r="23" spans="1:10" ht="30" customHeight="1">
      <c r="A23" s="6"/>
      <c r="B23" s="5" t="s">
        <v>136</v>
      </c>
      <c r="C23" s="13" t="s">
        <v>135</v>
      </c>
      <c r="D23" s="6"/>
      <c r="E23" s="6"/>
      <c r="F23" s="6"/>
      <c r="G23" s="1209"/>
      <c r="H23" s="1097"/>
      <c r="I23" s="6"/>
      <c r="J23" s="6"/>
    </row>
    <row r="24" spans="1:11" ht="17.25" customHeight="1">
      <c r="A24" s="1252" t="s">
        <v>137</v>
      </c>
      <c r="B24" s="1252"/>
      <c r="C24" s="1252"/>
      <c r="D24" s="1252"/>
      <c r="E24" s="1252"/>
      <c r="F24" s="1252"/>
      <c r="G24" s="1252"/>
      <c r="H24" s="1252"/>
      <c r="I24" s="1252"/>
      <c r="J24" s="1252"/>
      <c r="K24" s="1252"/>
    </row>
    <row r="25" spans="1:11" ht="130.5" customHeight="1">
      <c r="A25" s="1250" t="s">
        <v>138</v>
      </c>
      <c r="B25" s="1250"/>
      <c r="C25" s="1250"/>
      <c r="D25" s="1250"/>
      <c r="E25" s="1250"/>
      <c r="F25" s="1250"/>
      <c r="G25" s="1250"/>
      <c r="H25" s="1250"/>
      <c r="I25" s="1250"/>
      <c r="J25" s="1250"/>
      <c r="K25" s="1250"/>
    </row>
  </sheetData>
  <sheetProtection/>
  <mergeCells count="26">
    <mergeCell ref="G15:H15"/>
    <mergeCell ref="G16:H16"/>
    <mergeCell ref="G5:H5"/>
    <mergeCell ref="A1:G1"/>
    <mergeCell ref="H1:K1"/>
    <mergeCell ref="A2:K2"/>
    <mergeCell ref="G3:H3"/>
    <mergeCell ref="G4:H4"/>
    <mergeCell ref="G17:H17"/>
    <mergeCell ref="G6:H6"/>
    <mergeCell ref="G7:H7"/>
    <mergeCell ref="G8:H8"/>
    <mergeCell ref="G9:H9"/>
    <mergeCell ref="G10:H10"/>
    <mergeCell ref="G11:H11"/>
    <mergeCell ref="G12:H12"/>
    <mergeCell ref="G13:H13"/>
    <mergeCell ref="G14:H14"/>
    <mergeCell ref="G18:H18"/>
    <mergeCell ref="G19:H19"/>
    <mergeCell ref="A25:K25"/>
    <mergeCell ref="G20:H20"/>
    <mergeCell ref="G21:H21"/>
    <mergeCell ref="G22:H22"/>
    <mergeCell ref="G23:H23"/>
    <mergeCell ref="A24:K24"/>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I21"/>
  <sheetViews>
    <sheetView zoomScalePageLayoutView="0" workbookViewId="0" topLeftCell="A7">
      <selection activeCell="C7" sqref="C7"/>
    </sheetView>
  </sheetViews>
  <sheetFormatPr defaultColWidth="9.33203125" defaultRowHeight="12.75"/>
  <cols>
    <col min="1" max="1" width="11.16015625" style="0" customWidth="1"/>
    <col min="2" max="2" width="64.66015625" style="0" customWidth="1"/>
    <col min="3" max="4" width="16.16015625" style="0" customWidth="1"/>
    <col min="5" max="5" width="15.83203125" style="0" customWidth="1"/>
    <col min="6" max="6" width="0.82421875" style="0" customWidth="1"/>
    <col min="7" max="7" width="15.16015625" style="0" customWidth="1"/>
    <col min="8" max="8" width="16.16015625" style="0" customWidth="1"/>
    <col min="9" max="9" width="16.33203125" style="0" customWidth="1"/>
  </cols>
  <sheetData>
    <row r="1" spans="1:9" ht="66" customHeight="1">
      <c r="A1" s="1250" t="s">
        <v>139</v>
      </c>
      <c r="B1" s="1250"/>
      <c r="C1" s="1250"/>
      <c r="D1" s="1250"/>
      <c r="E1" s="1250"/>
      <c r="F1" s="1250"/>
      <c r="G1" s="1250"/>
      <c r="H1" s="1250"/>
      <c r="I1" s="1250"/>
    </row>
    <row r="2" spans="1:9" ht="17.25" customHeight="1">
      <c r="A2" s="1251" t="s">
        <v>140</v>
      </c>
      <c r="B2" s="1251"/>
      <c r="C2" s="1251"/>
      <c r="D2" s="1251"/>
      <c r="E2" s="1251"/>
      <c r="F2" s="1251"/>
      <c r="G2" s="1251"/>
      <c r="H2" s="1251"/>
      <c r="I2" s="1251"/>
    </row>
    <row r="3" spans="1:9" ht="17.25" customHeight="1">
      <c r="A3" s="8" t="s">
        <v>92</v>
      </c>
      <c r="B3" s="2" t="s">
        <v>109</v>
      </c>
      <c r="C3" s="2" t="s">
        <v>112</v>
      </c>
      <c r="D3" s="2" t="s">
        <v>113</v>
      </c>
      <c r="E3" s="2" t="s">
        <v>114</v>
      </c>
      <c r="F3" s="1080" t="s">
        <v>115</v>
      </c>
      <c r="G3" s="1082"/>
      <c r="H3" s="957" t="s">
        <v>116</v>
      </c>
      <c r="I3" s="976" t="s">
        <v>1913</v>
      </c>
    </row>
    <row r="4" spans="1:9" ht="17.25" customHeight="1">
      <c r="A4" s="11">
        <v>1</v>
      </c>
      <c r="B4" s="11">
        <v>2</v>
      </c>
      <c r="C4" s="11">
        <v>3</v>
      </c>
      <c r="D4" s="11">
        <v>4</v>
      </c>
      <c r="E4" s="11">
        <v>5</v>
      </c>
      <c r="F4" s="1216">
        <v>6</v>
      </c>
      <c r="G4" s="1217"/>
      <c r="H4" s="956">
        <v>7</v>
      </c>
      <c r="I4" s="966">
        <v>8</v>
      </c>
    </row>
    <row r="5" spans="1:9" ht="17.25" customHeight="1">
      <c r="A5" s="9">
        <v>1</v>
      </c>
      <c r="B5" s="3" t="s">
        <v>141</v>
      </c>
      <c r="C5" s="977"/>
      <c r="D5" s="977"/>
      <c r="E5" s="977"/>
      <c r="F5" s="1079"/>
      <c r="G5" s="1075"/>
      <c r="H5" s="978"/>
      <c r="I5" s="963"/>
    </row>
    <row r="6" spans="1:9" ht="17.25" customHeight="1">
      <c r="A6" s="9">
        <v>2</v>
      </c>
      <c r="B6" s="3" t="s">
        <v>142</v>
      </c>
      <c r="C6" s="977"/>
      <c r="D6" s="977"/>
      <c r="E6" s="977"/>
      <c r="F6" s="1079"/>
      <c r="G6" s="1075"/>
      <c r="H6" s="978"/>
      <c r="I6" s="963"/>
    </row>
    <row r="7" spans="1:9" ht="17.25" customHeight="1">
      <c r="A7" s="9">
        <v>3</v>
      </c>
      <c r="B7" s="3" t="s">
        <v>143</v>
      </c>
      <c r="C7" s="977"/>
      <c r="D7" s="977"/>
      <c r="E7" s="977"/>
      <c r="F7" s="1079"/>
      <c r="G7" s="1075"/>
      <c r="H7" s="978"/>
      <c r="I7" s="963"/>
    </row>
    <row r="8" spans="1:9" ht="17.25" customHeight="1">
      <c r="A8" s="9">
        <v>4</v>
      </c>
      <c r="B8" s="3" t="s">
        <v>144</v>
      </c>
      <c r="C8" s="977"/>
      <c r="D8" s="977"/>
      <c r="E8" s="977"/>
      <c r="F8" s="1079"/>
      <c r="G8" s="1075"/>
      <c r="H8" s="978"/>
      <c r="I8" s="963"/>
    </row>
    <row r="9" spans="1:9" ht="17.25" customHeight="1">
      <c r="A9" s="9">
        <v>5</v>
      </c>
      <c r="B9" s="3" t="s">
        <v>145</v>
      </c>
      <c r="C9" s="977"/>
      <c r="D9" s="977"/>
      <c r="E9" s="977"/>
      <c r="F9" s="1079"/>
      <c r="G9" s="1075"/>
      <c r="H9" s="978"/>
      <c r="I9" s="963"/>
    </row>
    <row r="10" spans="1:9" ht="17.25" customHeight="1">
      <c r="A10" s="9">
        <v>6</v>
      </c>
      <c r="B10" s="1" t="s">
        <v>146</v>
      </c>
      <c r="C10" s="977"/>
      <c r="D10" s="977"/>
      <c r="E10" s="977"/>
      <c r="F10" s="1079"/>
      <c r="G10" s="1075"/>
      <c r="H10" s="978"/>
      <c r="I10" s="963"/>
    </row>
    <row r="11" spans="1:9" ht="17.25" customHeight="1">
      <c r="A11" s="9">
        <v>7</v>
      </c>
      <c r="B11" s="1" t="s">
        <v>147</v>
      </c>
      <c r="C11" s="977"/>
      <c r="D11" s="977"/>
      <c r="E11" s="977"/>
      <c r="F11" s="1079"/>
      <c r="G11" s="1075"/>
      <c r="H11" s="978"/>
      <c r="I11" s="963"/>
    </row>
    <row r="12" spans="1:9" ht="17.25" customHeight="1">
      <c r="A12" s="1251" t="s">
        <v>148</v>
      </c>
      <c r="B12" s="1251"/>
      <c r="C12" s="1251"/>
      <c r="D12" s="1251"/>
      <c r="E12" s="1251"/>
      <c r="F12" s="1251"/>
      <c r="G12" s="1251"/>
      <c r="H12" s="1251"/>
      <c r="I12" s="1251"/>
    </row>
    <row r="13" spans="1:9" ht="17.25" customHeight="1">
      <c r="A13" s="8" t="s">
        <v>92</v>
      </c>
      <c r="B13" s="2" t="s">
        <v>109</v>
      </c>
      <c r="C13" s="2" t="s">
        <v>112</v>
      </c>
      <c r="D13" s="2" t="s">
        <v>113</v>
      </c>
      <c r="E13" s="1080" t="s">
        <v>114</v>
      </c>
      <c r="F13" s="1082"/>
      <c r="G13" s="2" t="s">
        <v>115</v>
      </c>
      <c r="H13" s="957" t="s">
        <v>116</v>
      </c>
      <c r="I13" s="975" t="s">
        <v>1913</v>
      </c>
    </row>
    <row r="14" spans="1:9" ht="17.25" customHeight="1">
      <c r="A14" s="11">
        <v>1</v>
      </c>
      <c r="B14" s="11">
        <v>2</v>
      </c>
      <c r="C14" s="11">
        <v>3</v>
      </c>
      <c r="D14" s="11">
        <v>4</v>
      </c>
      <c r="E14" s="1216">
        <v>5</v>
      </c>
      <c r="F14" s="1217"/>
      <c r="G14" s="11">
        <v>6</v>
      </c>
      <c r="H14" s="956">
        <v>7</v>
      </c>
      <c r="I14" s="966">
        <v>8</v>
      </c>
    </row>
    <row r="15" spans="1:9" ht="17.25" customHeight="1">
      <c r="A15" s="9">
        <v>1</v>
      </c>
      <c r="B15" s="3" t="s">
        <v>141</v>
      </c>
      <c r="C15" s="979"/>
      <c r="D15" s="979"/>
      <c r="E15" s="1226"/>
      <c r="F15" s="1228"/>
      <c r="G15" s="979"/>
      <c r="H15" s="980"/>
      <c r="I15" s="966"/>
    </row>
    <row r="16" spans="1:9" ht="17.25" customHeight="1">
      <c r="A16" s="9">
        <v>2</v>
      </c>
      <c r="B16" s="3" t="s">
        <v>149</v>
      </c>
      <c r="C16" s="979"/>
      <c r="D16" s="979"/>
      <c r="E16" s="1226"/>
      <c r="F16" s="1228"/>
      <c r="G16" s="979"/>
      <c r="H16" s="980"/>
      <c r="I16" s="966"/>
    </row>
    <row r="17" spans="1:9" ht="17.25" customHeight="1">
      <c r="A17" s="9">
        <v>3</v>
      </c>
      <c r="B17" s="3" t="s">
        <v>150</v>
      </c>
      <c r="C17" s="979"/>
      <c r="D17" s="979"/>
      <c r="E17" s="1226"/>
      <c r="F17" s="1228"/>
      <c r="G17" s="979"/>
      <c r="H17" s="980"/>
      <c r="I17" s="966"/>
    </row>
    <row r="18" spans="1:9" ht="17.25" customHeight="1">
      <c r="A18" s="9">
        <v>4</v>
      </c>
      <c r="B18" s="3" t="s">
        <v>144</v>
      </c>
      <c r="C18" s="979"/>
      <c r="D18" s="979"/>
      <c r="E18" s="1226"/>
      <c r="F18" s="1228"/>
      <c r="G18" s="979"/>
      <c r="H18" s="980"/>
      <c r="I18" s="966"/>
    </row>
    <row r="19" spans="1:9" ht="17.25" customHeight="1">
      <c r="A19" s="9">
        <v>5</v>
      </c>
      <c r="B19" s="3" t="s">
        <v>151</v>
      </c>
      <c r="C19" s="979"/>
      <c r="D19" s="979"/>
      <c r="E19" s="1226"/>
      <c r="F19" s="1228"/>
      <c r="G19" s="979"/>
      <c r="H19" s="980"/>
      <c r="I19" s="966"/>
    </row>
    <row r="20" spans="1:9" ht="17.25" customHeight="1">
      <c r="A20" s="9">
        <v>6</v>
      </c>
      <c r="B20" s="1" t="s">
        <v>146</v>
      </c>
      <c r="C20" s="979"/>
      <c r="D20" s="979"/>
      <c r="E20" s="1226"/>
      <c r="F20" s="1228"/>
      <c r="G20" s="979"/>
      <c r="H20" s="980"/>
      <c r="I20" s="966"/>
    </row>
    <row r="21" spans="1:9" ht="17.25" customHeight="1">
      <c r="A21" s="9">
        <v>7</v>
      </c>
      <c r="B21" s="1" t="s">
        <v>147</v>
      </c>
      <c r="C21" s="979"/>
      <c r="D21" s="979"/>
      <c r="E21" s="1226"/>
      <c r="F21" s="1228"/>
      <c r="G21" s="979"/>
      <c r="H21" s="980"/>
      <c r="I21" s="966"/>
    </row>
  </sheetData>
  <sheetProtection/>
  <mergeCells count="21">
    <mergeCell ref="F6:G6"/>
    <mergeCell ref="F10:G10"/>
    <mergeCell ref="F11:G11"/>
    <mergeCell ref="A12:I12"/>
    <mergeCell ref="E20:F20"/>
    <mergeCell ref="F7:G7"/>
    <mergeCell ref="A1:I1"/>
    <mergeCell ref="A2:I2"/>
    <mergeCell ref="F3:G3"/>
    <mergeCell ref="F4:G4"/>
    <mergeCell ref="F5:G5"/>
    <mergeCell ref="F8:G8"/>
    <mergeCell ref="F9:G9"/>
    <mergeCell ref="E13:F13"/>
    <mergeCell ref="E14:F14"/>
    <mergeCell ref="E15:F15"/>
    <mergeCell ref="E21:F21"/>
    <mergeCell ref="E16:F16"/>
    <mergeCell ref="E17:F17"/>
    <mergeCell ref="E18:F18"/>
    <mergeCell ref="E19:F19"/>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H11"/>
  <sheetViews>
    <sheetView zoomScalePageLayoutView="0" workbookViewId="0" topLeftCell="A1">
      <selection activeCell="C4" sqref="C4"/>
    </sheetView>
  </sheetViews>
  <sheetFormatPr defaultColWidth="9.33203125" defaultRowHeight="12.75"/>
  <cols>
    <col min="1" max="1" width="11.16015625" style="0" customWidth="1"/>
    <col min="2" max="2" width="63.16015625" style="0" customWidth="1"/>
    <col min="3" max="5" width="16.66015625" style="0" customWidth="1"/>
    <col min="6" max="6" width="16.83203125" style="0" customWidth="1"/>
    <col min="7" max="7" width="16.66015625" style="0" customWidth="1"/>
    <col min="8" max="8" width="6.5" style="0" customWidth="1"/>
  </cols>
  <sheetData>
    <row r="1" spans="1:8" ht="34.5" customHeight="1">
      <c r="A1" s="1378" t="s">
        <v>152</v>
      </c>
      <c r="B1" s="1378"/>
      <c r="C1" s="1378"/>
      <c r="D1" s="1378"/>
      <c r="E1" s="1378"/>
      <c r="F1" s="1378"/>
      <c r="G1" s="1378"/>
      <c r="H1" s="1378"/>
    </row>
    <row r="2" spans="1:7" ht="17.25" customHeight="1">
      <c r="A2" s="8" t="s">
        <v>92</v>
      </c>
      <c r="B2" s="2" t="s">
        <v>109</v>
      </c>
      <c r="C2" s="2" t="s">
        <v>112</v>
      </c>
      <c r="D2" s="2" t="s">
        <v>113</v>
      </c>
      <c r="E2" s="2" t="s">
        <v>114</v>
      </c>
      <c r="F2" s="2" t="s">
        <v>115</v>
      </c>
      <c r="G2" s="2" t="s">
        <v>116</v>
      </c>
    </row>
    <row r="3" spans="1:7" ht="17.25" customHeight="1">
      <c r="A3" s="11">
        <v>1</v>
      </c>
      <c r="B3" s="11">
        <v>2</v>
      </c>
      <c r="C3" s="11">
        <v>3</v>
      </c>
      <c r="D3" s="11">
        <v>4</v>
      </c>
      <c r="E3" s="11">
        <v>5</v>
      </c>
      <c r="F3" s="11">
        <v>6</v>
      </c>
      <c r="G3" s="11">
        <v>7</v>
      </c>
    </row>
    <row r="4" spans="1:7" ht="17.25" customHeight="1">
      <c r="A4" s="9">
        <v>1</v>
      </c>
      <c r="B4" s="3" t="s">
        <v>141</v>
      </c>
      <c r="C4" s="4"/>
      <c r="D4" s="4"/>
      <c r="E4" s="4"/>
      <c r="F4" s="4"/>
      <c r="G4" s="4"/>
    </row>
    <row r="5" spans="1:7" ht="17.25" customHeight="1">
      <c r="A5" s="9">
        <v>2</v>
      </c>
      <c r="B5" s="3" t="s">
        <v>149</v>
      </c>
      <c r="C5" s="4"/>
      <c r="D5" s="4"/>
      <c r="E5" s="4"/>
      <c r="F5" s="4"/>
      <c r="G5" s="4"/>
    </row>
    <row r="6" spans="1:7" ht="17.25" customHeight="1">
      <c r="A6" s="9">
        <v>3</v>
      </c>
      <c r="B6" s="3" t="s">
        <v>150</v>
      </c>
      <c r="C6" s="4"/>
      <c r="D6" s="4"/>
      <c r="E6" s="4"/>
      <c r="F6" s="4"/>
      <c r="G6" s="4"/>
    </row>
    <row r="7" spans="1:7" ht="17.25" customHeight="1">
      <c r="A7" s="9">
        <v>4</v>
      </c>
      <c r="B7" s="3" t="s">
        <v>144</v>
      </c>
      <c r="C7" s="4"/>
      <c r="D7" s="4"/>
      <c r="E7" s="4"/>
      <c r="F7" s="4"/>
      <c r="G7" s="4"/>
    </row>
    <row r="8" spans="1:7" ht="17.25" customHeight="1">
      <c r="A8" s="9">
        <v>5</v>
      </c>
      <c r="B8" s="3" t="s">
        <v>151</v>
      </c>
      <c r="C8" s="4"/>
      <c r="D8" s="4"/>
      <c r="E8" s="4"/>
      <c r="F8" s="4"/>
      <c r="G8" s="4"/>
    </row>
    <row r="9" spans="1:7" ht="17.25" customHeight="1">
      <c r="A9" s="9">
        <v>6</v>
      </c>
      <c r="B9" s="1" t="s">
        <v>146</v>
      </c>
      <c r="C9" s="4"/>
      <c r="D9" s="4"/>
      <c r="E9" s="4"/>
      <c r="F9" s="4"/>
      <c r="G9" s="4"/>
    </row>
    <row r="10" spans="1:7" ht="17.25" customHeight="1">
      <c r="A10" s="9">
        <v>7</v>
      </c>
      <c r="B10" s="1" t="s">
        <v>147</v>
      </c>
      <c r="C10" s="4"/>
      <c r="D10" s="4"/>
      <c r="E10" s="4"/>
      <c r="F10" s="4"/>
      <c r="G10" s="4"/>
    </row>
    <row r="11" spans="1:8" ht="17.25" customHeight="1">
      <c r="A11" s="1252" t="s">
        <v>137</v>
      </c>
      <c r="B11" s="1252"/>
      <c r="C11" s="1252"/>
      <c r="D11" s="1252"/>
      <c r="E11" s="1252"/>
      <c r="F11" s="1252"/>
      <c r="G11" s="1252"/>
      <c r="H11" s="1252"/>
    </row>
  </sheetData>
  <sheetProtection/>
  <mergeCells count="2">
    <mergeCell ref="A1:H1"/>
    <mergeCell ref="A11:H11"/>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E1"/>
    </sheetView>
  </sheetViews>
  <sheetFormatPr defaultColWidth="9.33203125" defaultRowHeight="12.75"/>
  <cols>
    <col min="1" max="1" width="8.83203125" style="0" customWidth="1"/>
    <col min="2" max="2" width="82.66015625" style="0" customWidth="1"/>
    <col min="3" max="4" width="14.66015625" style="0" customWidth="1"/>
    <col min="5" max="5" width="2.83203125" style="0" customWidth="1"/>
    <col min="6" max="6" width="11.5" style="0" customWidth="1"/>
    <col min="7" max="7" width="13.5" style="0" customWidth="1"/>
    <col min="8" max="8" width="12.5" style="0" customWidth="1"/>
    <col min="9" max="9" width="2.66015625" style="0" customWidth="1"/>
  </cols>
  <sheetData>
    <row r="1" spans="1:9" ht="57.75" customHeight="1">
      <c r="A1" s="1382" t="s">
        <v>153</v>
      </c>
      <c r="B1" s="1382"/>
      <c r="C1" s="1382"/>
      <c r="D1" s="1382"/>
      <c r="E1" s="1382"/>
      <c r="F1" s="1383" t="s">
        <v>154</v>
      </c>
      <c r="G1" s="1383"/>
      <c r="H1" s="1383"/>
      <c r="I1" s="1383"/>
    </row>
    <row r="2" spans="1:9" ht="17.25" customHeight="1">
      <c r="A2" s="1378" t="s">
        <v>155</v>
      </c>
      <c r="B2" s="1378"/>
      <c r="C2" s="1378"/>
      <c r="D2" s="1378"/>
      <c r="E2" s="1378"/>
      <c r="F2" s="1378"/>
      <c r="G2" s="1378"/>
      <c r="H2" s="1378"/>
      <c r="I2" s="1378"/>
    </row>
    <row r="3" spans="1:8" ht="17.25" customHeight="1">
      <c r="A3" s="7" t="s">
        <v>156</v>
      </c>
      <c r="B3" s="2" t="s">
        <v>109</v>
      </c>
      <c r="C3" s="2" t="s">
        <v>112</v>
      </c>
      <c r="D3" s="2" t="s">
        <v>113</v>
      </c>
      <c r="E3" s="1080" t="s">
        <v>114</v>
      </c>
      <c r="F3" s="1082"/>
      <c r="G3" s="2" t="s">
        <v>115</v>
      </c>
      <c r="H3" s="2" t="s">
        <v>116</v>
      </c>
    </row>
    <row r="4" spans="1:8" ht="17.25" customHeight="1">
      <c r="A4" s="15">
        <v>1</v>
      </c>
      <c r="B4" s="11">
        <v>2</v>
      </c>
      <c r="C4" s="11">
        <v>3</v>
      </c>
      <c r="D4" s="11">
        <v>4</v>
      </c>
      <c r="E4" s="1216">
        <v>5</v>
      </c>
      <c r="F4" s="1217"/>
      <c r="G4" s="11">
        <v>6</v>
      </c>
      <c r="H4" s="11">
        <v>7</v>
      </c>
    </row>
    <row r="5" spans="1:8" ht="17.25" customHeight="1">
      <c r="A5" s="4"/>
      <c r="B5" s="1" t="s">
        <v>157</v>
      </c>
      <c r="C5" s="4"/>
      <c r="D5" s="4"/>
      <c r="E5" s="1089"/>
      <c r="F5" s="1091"/>
      <c r="G5" s="4"/>
      <c r="H5" s="4"/>
    </row>
    <row r="6" spans="1:8" ht="17.25" customHeight="1">
      <c r="A6" s="16">
        <v>1</v>
      </c>
      <c r="B6" s="3" t="s">
        <v>158</v>
      </c>
      <c r="C6" s="4"/>
      <c r="D6" s="4"/>
      <c r="E6" s="1089"/>
      <c r="F6" s="1091"/>
      <c r="G6" s="4"/>
      <c r="H6" s="4"/>
    </row>
    <row r="7" spans="1:8" ht="17.25" customHeight="1">
      <c r="A7" s="16">
        <v>2</v>
      </c>
      <c r="B7" s="3" t="s">
        <v>159</v>
      </c>
      <c r="C7" s="4"/>
      <c r="D7" s="4"/>
      <c r="E7" s="1089"/>
      <c r="F7" s="1091"/>
      <c r="G7" s="4"/>
      <c r="H7" s="4"/>
    </row>
    <row r="8" spans="1:8" ht="17.25" customHeight="1">
      <c r="A8" s="16">
        <v>3</v>
      </c>
      <c r="B8" s="3" t="s">
        <v>160</v>
      </c>
      <c r="C8" s="4"/>
      <c r="D8" s="4"/>
      <c r="E8" s="1089"/>
      <c r="F8" s="1091"/>
      <c r="G8" s="4"/>
      <c r="H8" s="4"/>
    </row>
    <row r="9" spans="1:8" ht="17.25" customHeight="1">
      <c r="A9" s="16">
        <v>4</v>
      </c>
      <c r="B9" s="3" t="s">
        <v>161</v>
      </c>
      <c r="C9" s="4"/>
      <c r="D9" s="4"/>
      <c r="E9" s="1089"/>
      <c r="F9" s="1091"/>
      <c r="G9" s="4"/>
      <c r="H9" s="4"/>
    </row>
    <row r="10" spans="1:8" ht="17.25" customHeight="1">
      <c r="A10" s="16">
        <v>5</v>
      </c>
      <c r="B10" s="3" t="s">
        <v>162</v>
      </c>
      <c r="C10" s="4"/>
      <c r="D10" s="4"/>
      <c r="E10" s="1089"/>
      <c r="F10" s="1091"/>
      <c r="G10" s="4"/>
      <c r="H10" s="4"/>
    </row>
    <row r="11" spans="1:8" ht="17.25" customHeight="1">
      <c r="A11" s="16">
        <v>7</v>
      </c>
      <c r="B11" s="3" t="s">
        <v>163</v>
      </c>
      <c r="C11" s="4"/>
      <c r="D11" s="4"/>
      <c r="E11" s="1089"/>
      <c r="F11" s="1091"/>
      <c r="G11" s="4"/>
      <c r="H11" s="4"/>
    </row>
    <row r="12" spans="1:8" ht="17.25" customHeight="1">
      <c r="A12" s="16">
        <v>8</v>
      </c>
      <c r="B12" s="3" t="s">
        <v>164</v>
      </c>
      <c r="C12" s="4"/>
      <c r="D12" s="4"/>
      <c r="E12" s="1089"/>
      <c r="F12" s="1091"/>
      <c r="G12" s="4"/>
      <c r="H12" s="4"/>
    </row>
    <row r="13" spans="1:8" ht="17.25" customHeight="1">
      <c r="A13" s="16">
        <v>9</v>
      </c>
      <c r="B13" s="3" t="s">
        <v>165</v>
      </c>
      <c r="C13" s="4"/>
      <c r="D13" s="4"/>
      <c r="E13" s="1089"/>
      <c r="F13" s="1091"/>
      <c r="G13" s="4"/>
      <c r="H13" s="4"/>
    </row>
    <row r="14" spans="1:8" ht="17.25" customHeight="1">
      <c r="A14" s="16">
        <v>10</v>
      </c>
      <c r="B14" s="3" t="s">
        <v>166</v>
      </c>
      <c r="C14" s="4"/>
      <c r="D14" s="4"/>
      <c r="E14" s="1089"/>
      <c r="F14" s="1091"/>
      <c r="G14" s="4"/>
      <c r="H14" s="4"/>
    </row>
    <row r="15" spans="1:8" ht="17.25" customHeight="1">
      <c r="A15" s="16">
        <v>11</v>
      </c>
      <c r="B15" s="3" t="s">
        <v>167</v>
      </c>
      <c r="C15" s="4"/>
      <c r="D15" s="4"/>
      <c r="E15" s="1089"/>
      <c r="F15" s="1091"/>
      <c r="G15" s="4"/>
      <c r="H15" s="4"/>
    </row>
    <row r="16" spans="1:8" ht="17.25" customHeight="1">
      <c r="A16" s="16">
        <v>12</v>
      </c>
      <c r="B16" s="3" t="s">
        <v>168</v>
      </c>
      <c r="C16" s="4"/>
      <c r="D16" s="4"/>
      <c r="E16" s="1089"/>
      <c r="F16" s="1091"/>
      <c r="G16" s="4"/>
      <c r="H16" s="4"/>
    </row>
    <row r="17" spans="1:8" ht="17.25" customHeight="1">
      <c r="A17" s="16">
        <v>12</v>
      </c>
      <c r="B17" s="3" t="s">
        <v>169</v>
      </c>
      <c r="C17" s="4"/>
      <c r="D17" s="4"/>
      <c r="E17" s="1089"/>
      <c r="F17" s="1091"/>
      <c r="G17" s="4"/>
      <c r="H17" s="4"/>
    </row>
    <row r="18" spans="1:9" ht="17.25" customHeight="1">
      <c r="A18" s="1199" t="s">
        <v>137</v>
      </c>
      <c r="B18" s="1199"/>
      <c r="C18" s="1199"/>
      <c r="D18" s="1199"/>
      <c r="E18" s="1199"/>
      <c r="F18" s="1199"/>
      <c r="G18" s="1199"/>
      <c r="H18" s="1199"/>
      <c r="I18" s="1199"/>
    </row>
  </sheetData>
  <sheetProtection/>
  <mergeCells count="19">
    <mergeCell ref="A1:E1"/>
    <mergeCell ref="F1:I1"/>
    <mergeCell ref="A2:I2"/>
    <mergeCell ref="E3:F3"/>
    <mergeCell ref="E4:F4"/>
    <mergeCell ref="E6:F6"/>
    <mergeCell ref="E7:F7"/>
    <mergeCell ref="E8:F8"/>
    <mergeCell ref="E9:F9"/>
    <mergeCell ref="E15:F15"/>
    <mergeCell ref="E5:F5"/>
    <mergeCell ref="E17:F17"/>
    <mergeCell ref="A18:I18"/>
    <mergeCell ref="E10:F10"/>
    <mergeCell ref="E11:F11"/>
    <mergeCell ref="E12:F12"/>
    <mergeCell ref="E13:F13"/>
    <mergeCell ref="E14:F14"/>
    <mergeCell ref="E16:F16"/>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E1"/>
    </sheetView>
  </sheetViews>
  <sheetFormatPr defaultColWidth="9.33203125" defaultRowHeight="12.75"/>
  <cols>
    <col min="1" max="1" width="8.83203125" style="0" customWidth="1"/>
    <col min="2" max="2" width="82.66015625" style="0" customWidth="1"/>
    <col min="3" max="4" width="14.66015625" style="0" customWidth="1"/>
    <col min="5" max="5" width="3.16015625" style="0" customWidth="1"/>
    <col min="6" max="6" width="11.33203125" style="0" customWidth="1"/>
    <col min="7" max="7" width="13.5" style="0" customWidth="1"/>
    <col min="8" max="8" width="12.5" style="0" customWidth="1"/>
    <col min="9" max="9" width="2.66015625" style="0" customWidth="1"/>
  </cols>
  <sheetData>
    <row r="1" spans="1:9" ht="57.75" customHeight="1">
      <c r="A1" s="1382" t="s">
        <v>153</v>
      </c>
      <c r="B1" s="1382"/>
      <c r="C1" s="1382"/>
      <c r="D1" s="1382"/>
      <c r="E1" s="1382"/>
      <c r="F1" s="1383" t="s">
        <v>170</v>
      </c>
      <c r="G1" s="1383"/>
      <c r="H1" s="1383"/>
      <c r="I1" s="1383"/>
    </row>
    <row r="2" spans="1:9" ht="17.25" customHeight="1">
      <c r="A2" s="1378" t="s">
        <v>155</v>
      </c>
      <c r="B2" s="1378"/>
      <c r="C2" s="1378"/>
      <c r="D2" s="1378"/>
      <c r="E2" s="1378"/>
      <c r="F2" s="1378"/>
      <c r="G2" s="1378"/>
      <c r="H2" s="1378"/>
      <c r="I2" s="1378"/>
    </row>
    <row r="3" spans="1:8" ht="17.25" customHeight="1">
      <c r="A3" s="7" t="s">
        <v>156</v>
      </c>
      <c r="B3" s="2" t="s">
        <v>109</v>
      </c>
      <c r="C3" s="2" t="s">
        <v>112</v>
      </c>
      <c r="D3" s="2" t="s">
        <v>113</v>
      </c>
      <c r="E3" s="1080" t="s">
        <v>114</v>
      </c>
      <c r="F3" s="1082"/>
      <c r="G3" s="2" t="s">
        <v>115</v>
      </c>
      <c r="H3" s="2" t="s">
        <v>116</v>
      </c>
    </row>
    <row r="4" spans="1:8" ht="17.25" customHeight="1">
      <c r="A4" s="15">
        <v>1</v>
      </c>
      <c r="B4" s="11">
        <v>2</v>
      </c>
      <c r="C4" s="11">
        <v>3</v>
      </c>
      <c r="D4" s="11">
        <v>4</v>
      </c>
      <c r="E4" s="1216">
        <v>5</v>
      </c>
      <c r="F4" s="1217"/>
      <c r="G4" s="11">
        <v>6</v>
      </c>
      <c r="H4" s="11">
        <v>7</v>
      </c>
    </row>
    <row r="5" spans="1:8" ht="17.25" customHeight="1">
      <c r="A5" s="4"/>
      <c r="B5" s="1076" t="s">
        <v>171</v>
      </c>
      <c r="C5" s="1077"/>
      <c r="D5" s="1077"/>
      <c r="E5" s="1077"/>
      <c r="F5" s="1077"/>
      <c r="G5" s="1077"/>
      <c r="H5" s="1078"/>
    </row>
    <row r="6" spans="1:8" ht="17.25" customHeight="1">
      <c r="A6" s="16">
        <v>1</v>
      </c>
      <c r="B6" s="3" t="s">
        <v>158</v>
      </c>
      <c r="C6" s="4"/>
      <c r="D6" s="4"/>
      <c r="E6" s="1089"/>
      <c r="F6" s="1091"/>
      <c r="G6" s="4"/>
      <c r="H6" s="4"/>
    </row>
    <row r="7" spans="1:8" ht="17.25" customHeight="1">
      <c r="A7" s="16">
        <v>2</v>
      </c>
      <c r="B7" s="3" t="s">
        <v>159</v>
      </c>
      <c r="C7" s="4"/>
      <c r="D7" s="4"/>
      <c r="E7" s="1089"/>
      <c r="F7" s="1091"/>
      <c r="G7" s="4"/>
      <c r="H7" s="4"/>
    </row>
    <row r="8" spans="1:8" ht="17.25" customHeight="1">
      <c r="A8" s="16">
        <v>3</v>
      </c>
      <c r="B8" s="3" t="s">
        <v>160</v>
      </c>
      <c r="C8" s="4"/>
      <c r="D8" s="4"/>
      <c r="E8" s="1089"/>
      <c r="F8" s="1091"/>
      <c r="G8" s="4"/>
      <c r="H8" s="4"/>
    </row>
    <row r="9" spans="1:8" ht="17.25" customHeight="1">
      <c r="A9" s="16">
        <v>4</v>
      </c>
      <c r="B9" s="3" t="s">
        <v>161</v>
      </c>
      <c r="C9" s="4"/>
      <c r="D9" s="4"/>
      <c r="E9" s="1089"/>
      <c r="F9" s="1091"/>
      <c r="G9" s="4"/>
      <c r="H9" s="4"/>
    </row>
    <row r="10" spans="1:8" ht="17.25" customHeight="1">
      <c r="A10" s="16">
        <v>5</v>
      </c>
      <c r="B10" s="3" t="s">
        <v>162</v>
      </c>
      <c r="C10" s="4"/>
      <c r="D10" s="4"/>
      <c r="E10" s="1089"/>
      <c r="F10" s="1091"/>
      <c r="G10" s="4"/>
      <c r="H10" s="4"/>
    </row>
    <row r="11" spans="1:8" ht="17.25" customHeight="1">
      <c r="A11" s="16">
        <v>7</v>
      </c>
      <c r="B11" s="3" t="s">
        <v>163</v>
      </c>
      <c r="C11" s="4"/>
      <c r="D11" s="4"/>
      <c r="E11" s="1089"/>
      <c r="F11" s="1091"/>
      <c r="G11" s="4"/>
      <c r="H11" s="4"/>
    </row>
    <row r="12" spans="1:8" ht="17.25" customHeight="1">
      <c r="A12" s="16">
        <v>8</v>
      </c>
      <c r="B12" s="3" t="s">
        <v>164</v>
      </c>
      <c r="C12" s="4"/>
      <c r="D12" s="4"/>
      <c r="E12" s="1089"/>
      <c r="F12" s="1091"/>
      <c r="G12" s="4"/>
      <c r="H12" s="4"/>
    </row>
    <row r="13" spans="1:8" ht="17.25" customHeight="1">
      <c r="A13" s="16">
        <v>9</v>
      </c>
      <c r="B13" s="3" t="s">
        <v>165</v>
      </c>
      <c r="C13" s="4"/>
      <c r="D13" s="4"/>
      <c r="E13" s="1089"/>
      <c r="F13" s="1091"/>
      <c r="G13" s="4"/>
      <c r="H13" s="4"/>
    </row>
    <row r="14" spans="1:8" ht="17.25" customHeight="1">
      <c r="A14" s="16">
        <v>10</v>
      </c>
      <c r="B14" s="3" t="s">
        <v>166</v>
      </c>
      <c r="C14" s="4"/>
      <c r="D14" s="4"/>
      <c r="E14" s="1089"/>
      <c r="F14" s="1091"/>
      <c r="G14" s="4"/>
      <c r="H14" s="4"/>
    </row>
    <row r="15" spans="1:8" ht="17.25" customHeight="1">
      <c r="A15" s="16">
        <v>11</v>
      </c>
      <c r="B15" s="3" t="s">
        <v>167</v>
      </c>
      <c r="C15" s="4"/>
      <c r="D15" s="4"/>
      <c r="E15" s="1089"/>
      <c r="F15" s="1091"/>
      <c r="G15" s="4"/>
      <c r="H15" s="4"/>
    </row>
    <row r="16" spans="1:8" ht="17.25" customHeight="1">
      <c r="A16" s="16">
        <v>12</v>
      </c>
      <c r="B16" s="3" t="s">
        <v>168</v>
      </c>
      <c r="C16" s="4"/>
      <c r="D16" s="4"/>
      <c r="E16" s="1089"/>
      <c r="F16" s="1091"/>
      <c r="G16" s="4"/>
      <c r="H16" s="4"/>
    </row>
    <row r="17" spans="1:8" ht="17.25" customHeight="1">
      <c r="A17" s="16">
        <v>12</v>
      </c>
      <c r="B17" s="3" t="s">
        <v>169</v>
      </c>
      <c r="C17" s="4"/>
      <c r="D17" s="4"/>
      <c r="E17" s="1089"/>
      <c r="F17" s="1091"/>
      <c r="G17" s="4"/>
      <c r="H17" s="4"/>
    </row>
    <row r="18" spans="1:9" ht="17.25" customHeight="1">
      <c r="A18" s="1199" t="s">
        <v>137</v>
      </c>
      <c r="B18" s="1199"/>
      <c r="C18" s="1199"/>
      <c r="D18" s="1199"/>
      <c r="E18" s="1199"/>
      <c r="F18" s="1199"/>
      <c r="G18" s="1199"/>
      <c r="H18" s="1199"/>
      <c r="I18" s="1199"/>
    </row>
  </sheetData>
  <sheetProtection/>
  <mergeCells count="19">
    <mergeCell ref="A1:E1"/>
    <mergeCell ref="F1:I1"/>
    <mergeCell ref="A2:I2"/>
    <mergeCell ref="E3:F3"/>
    <mergeCell ref="E4:F4"/>
    <mergeCell ref="E6:F6"/>
    <mergeCell ref="E7:F7"/>
    <mergeCell ref="E8:F8"/>
    <mergeCell ref="E9:F9"/>
    <mergeCell ref="E15:F15"/>
    <mergeCell ref="B5:H5"/>
    <mergeCell ref="E17:F17"/>
    <mergeCell ref="A18:I18"/>
    <mergeCell ref="E10:F10"/>
    <mergeCell ref="E11:F11"/>
    <mergeCell ref="E12:F12"/>
    <mergeCell ref="E13:F13"/>
    <mergeCell ref="E14:F14"/>
    <mergeCell ref="E16:F1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I60"/>
  <sheetViews>
    <sheetView zoomScalePageLayoutView="0" workbookViewId="0" topLeftCell="A1">
      <selection activeCell="G17" sqref="G17"/>
    </sheetView>
  </sheetViews>
  <sheetFormatPr defaultColWidth="9.33203125" defaultRowHeight="12.75"/>
  <cols>
    <col min="1" max="1" width="64.66015625" style="0" customWidth="1"/>
    <col min="2" max="2" width="9.83203125" style="0" customWidth="1"/>
    <col min="3" max="3" width="7.16015625" style="0" customWidth="1"/>
    <col min="4" max="4" width="2.66015625" style="0" customWidth="1"/>
    <col min="5" max="5" width="11.5" style="0" customWidth="1"/>
    <col min="6" max="7" width="8" style="0" customWidth="1"/>
    <col min="8" max="8" width="10" style="0" customWidth="1"/>
    <col min="9" max="9" width="2.83203125" style="0" customWidth="1"/>
  </cols>
  <sheetData>
    <row r="1" spans="1:9" ht="42.75" customHeight="1">
      <c r="A1" s="1384" t="s">
        <v>172</v>
      </c>
      <c r="B1" s="1384"/>
      <c r="C1" s="1384"/>
      <c r="D1" s="1204" t="s">
        <v>173</v>
      </c>
      <c r="E1" s="1204"/>
      <c r="F1" s="1204"/>
      <c r="G1" s="1204"/>
      <c r="H1" s="1204"/>
      <c r="I1" s="1204"/>
    </row>
    <row r="2" spans="1:9" ht="34.5" customHeight="1">
      <c r="A2" s="1198" t="s">
        <v>174</v>
      </c>
      <c r="B2" s="1198"/>
      <c r="C2" s="1198"/>
      <c r="D2" s="1198"/>
      <c r="E2" s="1198"/>
      <c r="F2" s="1198"/>
      <c r="G2" s="1198"/>
      <c r="H2" s="1198"/>
      <c r="I2" s="1198"/>
    </row>
    <row r="3" spans="1:8" ht="17.25" customHeight="1">
      <c r="A3" s="1" t="s">
        <v>175</v>
      </c>
      <c r="B3" s="1" t="s">
        <v>176</v>
      </c>
      <c r="C3" s="1076" t="s">
        <v>177</v>
      </c>
      <c r="D3" s="1078"/>
      <c r="E3" s="1" t="s">
        <v>178</v>
      </c>
      <c r="F3" s="8" t="s">
        <v>179</v>
      </c>
      <c r="G3" s="4"/>
      <c r="H3" s="4"/>
    </row>
    <row r="4" spans="1:8" ht="17.25" customHeight="1">
      <c r="A4" s="3" t="s">
        <v>180</v>
      </c>
      <c r="B4" s="4"/>
      <c r="C4" s="1089"/>
      <c r="D4" s="1091"/>
      <c r="E4" s="4"/>
      <c r="F4" s="4"/>
      <c r="G4" s="4"/>
      <c r="H4" s="4"/>
    </row>
    <row r="5" spans="1:8" ht="17.25" customHeight="1">
      <c r="A5" s="3" t="s">
        <v>181</v>
      </c>
      <c r="B5" s="4"/>
      <c r="C5" s="1089"/>
      <c r="D5" s="1091"/>
      <c r="E5" s="4"/>
      <c r="F5" s="4"/>
      <c r="G5" s="4"/>
      <c r="H5" s="4"/>
    </row>
    <row r="6" spans="1:8" ht="17.25" customHeight="1">
      <c r="A6" s="3" t="s">
        <v>182</v>
      </c>
      <c r="B6" s="4"/>
      <c r="C6" s="1089"/>
      <c r="D6" s="1091"/>
      <c r="E6" s="4"/>
      <c r="F6" s="4"/>
      <c r="G6" s="4"/>
      <c r="H6" s="4"/>
    </row>
    <row r="7" spans="1:8" ht="17.25" customHeight="1">
      <c r="A7" s="3" t="s">
        <v>183</v>
      </c>
      <c r="B7" s="4"/>
      <c r="C7" s="1089"/>
      <c r="D7" s="1091"/>
      <c r="E7" s="4"/>
      <c r="F7" s="4"/>
      <c r="G7" s="4"/>
      <c r="H7" s="4"/>
    </row>
    <row r="8" spans="1:8" ht="17.25" customHeight="1">
      <c r="A8" s="3" t="s">
        <v>184</v>
      </c>
      <c r="B8" s="4"/>
      <c r="C8" s="1089"/>
      <c r="D8" s="1091"/>
      <c r="E8" s="4"/>
      <c r="F8" s="4"/>
      <c r="G8" s="4"/>
      <c r="H8" s="4"/>
    </row>
    <row r="9" spans="1:8" ht="17.25" customHeight="1">
      <c r="A9" s="3" t="s">
        <v>185</v>
      </c>
      <c r="B9" s="4"/>
      <c r="C9" s="1089"/>
      <c r="D9" s="1091"/>
      <c r="E9" s="4"/>
      <c r="F9" s="4"/>
      <c r="G9" s="4"/>
      <c r="H9" s="4"/>
    </row>
    <row r="10" spans="1:8" ht="34.5" customHeight="1">
      <c r="A10" s="5" t="s">
        <v>186</v>
      </c>
      <c r="B10" s="6"/>
      <c r="C10" s="1209"/>
      <c r="D10" s="1097"/>
      <c r="E10" s="6"/>
      <c r="F10" s="6"/>
      <c r="G10" s="6"/>
      <c r="H10" s="6"/>
    </row>
    <row r="11" spans="1:8" ht="17.25" customHeight="1">
      <c r="A11" s="5" t="s">
        <v>187</v>
      </c>
      <c r="B11" s="4"/>
      <c r="C11" s="1089"/>
      <c r="D11" s="1091"/>
      <c r="E11" s="4"/>
      <c r="F11" s="4"/>
      <c r="G11" s="4"/>
      <c r="H11" s="4"/>
    </row>
    <row r="12" spans="1:8" ht="17.25" customHeight="1">
      <c r="A12" s="5" t="s">
        <v>188</v>
      </c>
      <c r="B12" s="4"/>
      <c r="C12" s="1089"/>
      <c r="D12" s="1091"/>
      <c r="E12" s="4"/>
      <c r="F12" s="4"/>
      <c r="G12" s="4"/>
      <c r="H12" s="4"/>
    </row>
    <row r="13" spans="1:8" ht="17.25" customHeight="1">
      <c r="A13" s="5" t="s">
        <v>189</v>
      </c>
      <c r="B13" s="4"/>
      <c r="C13" s="1089"/>
      <c r="D13" s="1091"/>
      <c r="E13" s="4"/>
      <c r="F13" s="4"/>
      <c r="G13" s="4"/>
      <c r="H13" s="4"/>
    </row>
    <row r="14" spans="1:8" ht="34.5" customHeight="1">
      <c r="A14" s="5" t="s">
        <v>190</v>
      </c>
      <c r="B14" s="6"/>
      <c r="C14" s="1209"/>
      <c r="D14" s="1097"/>
      <c r="E14" s="6"/>
      <c r="F14" s="6"/>
      <c r="G14" s="6"/>
      <c r="H14" s="6"/>
    </row>
    <row r="15" spans="1:8" ht="34.5" customHeight="1">
      <c r="A15" s="5" t="s">
        <v>191</v>
      </c>
      <c r="B15" s="6"/>
      <c r="C15" s="1209"/>
      <c r="D15" s="1097"/>
      <c r="E15" s="6"/>
      <c r="F15" s="6"/>
      <c r="G15" s="6"/>
      <c r="H15" s="6"/>
    </row>
    <row r="16" spans="1:8" ht="34.5" customHeight="1">
      <c r="A16" s="5" t="s">
        <v>192</v>
      </c>
      <c r="B16" s="6"/>
      <c r="C16" s="1209"/>
      <c r="D16" s="1097"/>
      <c r="E16" s="6"/>
      <c r="F16" s="6"/>
      <c r="G16" s="6"/>
      <c r="H16" s="6"/>
    </row>
    <row r="17" spans="1:8" ht="34.5" customHeight="1">
      <c r="A17" s="5" t="s">
        <v>193</v>
      </c>
      <c r="B17" s="6"/>
      <c r="C17" s="1209"/>
      <c r="D17" s="1097"/>
      <c r="E17" s="6"/>
      <c r="F17" s="6"/>
      <c r="G17" s="6"/>
      <c r="H17" s="6"/>
    </row>
    <row r="18" spans="1:8" ht="34.5" customHeight="1">
      <c r="A18" s="5" t="s">
        <v>194</v>
      </c>
      <c r="B18" s="6"/>
      <c r="C18" s="1209"/>
      <c r="D18" s="1097"/>
      <c r="E18" s="6"/>
      <c r="F18" s="6"/>
      <c r="G18" s="6"/>
      <c r="H18" s="6"/>
    </row>
    <row r="19" spans="1:8" ht="34.5" customHeight="1">
      <c r="A19" s="5" t="s">
        <v>195</v>
      </c>
      <c r="B19" s="6"/>
      <c r="C19" s="1209"/>
      <c r="D19" s="1097"/>
      <c r="E19" s="6"/>
      <c r="F19" s="6"/>
      <c r="G19" s="6"/>
      <c r="H19" s="6"/>
    </row>
    <row r="20" spans="1:8" ht="17.25" customHeight="1">
      <c r="A20" s="3" t="s">
        <v>196</v>
      </c>
      <c r="B20" s="4"/>
      <c r="C20" s="1089"/>
      <c r="D20" s="1091"/>
      <c r="E20" s="4"/>
      <c r="F20" s="4"/>
      <c r="G20" s="4"/>
      <c r="H20" s="4"/>
    </row>
    <row r="21" spans="1:8" ht="17.25" customHeight="1">
      <c r="A21" s="3" t="s">
        <v>197</v>
      </c>
      <c r="B21" s="4"/>
      <c r="C21" s="1089"/>
      <c r="D21" s="1091"/>
      <c r="E21" s="4"/>
      <c r="F21" s="4"/>
      <c r="G21" s="4"/>
      <c r="H21" s="4"/>
    </row>
    <row r="22" spans="1:8" ht="17.25" customHeight="1">
      <c r="A22" s="3" t="s">
        <v>198</v>
      </c>
      <c r="B22" s="4"/>
      <c r="C22" s="1089"/>
      <c r="D22" s="1091"/>
      <c r="E22" s="4"/>
      <c r="F22" s="4"/>
      <c r="G22" s="4"/>
      <c r="H22" s="4"/>
    </row>
    <row r="23" spans="1:8" ht="17.25" customHeight="1">
      <c r="A23" s="3" t="s">
        <v>199</v>
      </c>
      <c r="B23" s="4"/>
      <c r="C23" s="1089"/>
      <c r="D23" s="1091"/>
      <c r="E23" s="4"/>
      <c r="F23" s="4"/>
      <c r="G23" s="4"/>
      <c r="H23" s="4"/>
    </row>
    <row r="24" spans="1:8" ht="17.25" customHeight="1">
      <c r="A24" s="5" t="s">
        <v>200</v>
      </c>
      <c r="B24" s="4"/>
      <c r="C24" s="1089"/>
      <c r="D24" s="1091"/>
      <c r="E24" s="4"/>
      <c r="F24" s="4"/>
      <c r="G24" s="4"/>
      <c r="H24" s="4"/>
    </row>
    <row r="25" spans="1:8" ht="17.25" customHeight="1">
      <c r="A25" s="3" t="s">
        <v>201</v>
      </c>
      <c r="B25" s="4"/>
      <c r="C25" s="1089"/>
      <c r="D25" s="1091"/>
      <c r="E25" s="4"/>
      <c r="F25" s="4"/>
      <c r="G25" s="4"/>
      <c r="H25" s="4"/>
    </row>
    <row r="26" spans="1:8" ht="34.5" customHeight="1">
      <c r="A26" s="5" t="s">
        <v>202</v>
      </c>
      <c r="B26" s="6"/>
      <c r="C26" s="1209"/>
      <c r="D26" s="1097"/>
      <c r="E26" s="6"/>
      <c r="F26" s="6"/>
      <c r="G26" s="6"/>
      <c r="H26" s="6"/>
    </row>
    <row r="27" spans="1:8" ht="34.5" customHeight="1">
      <c r="A27" s="5" t="s">
        <v>203</v>
      </c>
      <c r="B27" s="6"/>
      <c r="C27" s="1209"/>
      <c r="D27" s="1097"/>
      <c r="E27" s="6"/>
      <c r="F27" s="6"/>
      <c r="G27" s="6"/>
      <c r="H27" s="6"/>
    </row>
    <row r="28" spans="1:8" ht="45" customHeight="1">
      <c r="A28" s="5" t="s">
        <v>204</v>
      </c>
      <c r="B28" s="6"/>
      <c r="C28" s="1209"/>
      <c r="D28" s="1097"/>
      <c r="E28" s="6"/>
      <c r="F28" s="6"/>
      <c r="G28" s="6"/>
      <c r="H28" s="6"/>
    </row>
    <row r="29" spans="1:8" ht="34.5" customHeight="1">
      <c r="A29" s="5" t="s">
        <v>205</v>
      </c>
      <c r="B29" s="6"/>
      <c r="C29" s="1209"/>
      <c r="D29" s="1097"/>
      <c r="E29" s="6"/>
      <c r="F29" s="6"/>
      <c r="G29" s="6"/>
      <c r="H29" s="6"/>
    </row>
    <row r="30" spans="1:8" ht="17.25" customHeight="1">
      <c r="A30" s="5" t="s">
        <v>206</v>
      </c>
      <c r="B30" s="4"/>
      <c r="C30" s="1089"/>
      <c r="D30" s="1091"/>
      <c r="E30" s="4"/>
      <c r="F30" s="4"/>
      <c r="G30" s="4"/>
      <c r="H30" s="4"/>
    </row>
    <row r="31" spans="1:8" ht="34.5" customHeight="1">
      <c r="A31" s="5" t="s">
        <v>207</v>
      </c>
      <c r="B31" s="6"/>
      <c r="C31" s="1209"/>
      <c r="D31" s="1097"/>
      <c r="E31" s="6"/>
      <c r="F31" s="6"/>
      <c r="G31" s="6"/>
      <c r="H31" s="6"/>
    </row>
    <row r="32" spans="1:8" ht="15" customHeight="1">
      <c r="A32" s="1089"/>
      <c r="B32" s="1090"/>
      <c r="C32" s="1090"/>
      <c r="D32" s="1090"/>
      <c r="E32" s="1090"/>
      <c r="F32" s="1090"/>
      <c r="G32" s="1090"/>
      <c r="H32" s="1091"/>
    </row>
    <row r="33" spans="1:8" ht="17.25" customHeight="1">
      <c r="A33" s="1" t="s">
        <v>208</v>
      </c>
      <c r="B33" s="4"/>
      <c r="C33" s="1089"/>
      <c r="D33" s="1091"/>
      <c r="E33" s="4"/>
      <c r="F33" s="4"/>
      <c r="G33" s="4"/>
      <c r="H33" s="4"/>
    </row>
    <row r="34" spans="1:8" ht="17.25" customHeight="1">
      <c r="A34" s="5" t="s">
        <v>209</v>
      </c>
      <c r="B34" s="4"/>
      <c r="C34" s="1089"/>
      <c r="D34" s="1091"/>
      <c r="E34" s="4"/>
      <c r="F34" s="4"/>
      <c r="G34" s="4"/>
      <c r="H34" s="4"/>
    </row>
    <row r="35" spans="1:8" ht="18" customHeight="1">
      <c r="A35" s="5" t="s">
        <v>210</v>
      </c>
      <c r="B35" s="4"/>
      <c r="C35" s="1089"/>
      <c r="D35" s="1091"/>
      <c r="E35" s="4"/>
      <c r="F35" s="4"/>
      <c r="G35" s="4"/>
      <c r="H35" s="4"/>
    </row>
    <row r="36" spans="1:8" ht="18" customHeight="1">
      <c r="A36" s="1" t="s">
        <v>211</v>
      </c>
      <c r="B36" s="4"/>
      <c r="C36" s="1089"/>
      <c r="D36" s="1091"/>
      <c r="E36" s="4"/>
      <c r="F36" s="4"/>
      <c r="G36" s="4"/>
      <c r="H36" s="4"/>
    </row>
    <row r="37" spans="1:8" ht="17.25" customHeight="1">
      <c r="A37" s="5" t="s">
        <v>212</v>
      </c>
      <c r="B37" s="4"/>
      <c r="C37" s="1089"/>
      <c r="D37" s="1091"/>
      <c r="E37" s="4"/>
      <c r="F37" s="4"/>
      <c r="G37" s="4"/>
      <c r="H37" s="4"/>
    </row>
    <row r="38" spans="1:8" ht="17.25" customHeight="1">
      <c r="A38" s="3" t="s">
        <v>213</v>
      </c>
      <c r="B38" s="4"/>
      <c r="C38" s="1089"/>
      <c r="D38" s="1091"/>
      <c r="E38" s="4"/>
      <c r="F38" s="4"/>
      <c r="G38" s="4"/>
      <c r="H38" s="4"/>
    </row>
    <row r="39" spans="1:8" ht="17.25" customHeight="1">
      <c r="A39" s="3" t="s">
        <v>214</v>
      </c>
      <c r="B39" s="4"/>
      <c r="C39" s="1089"/>
      <c r="D39" s="1091"/>
      <c r="E39" s="4"/>
      <c r="F39" s="4"/>
      <c r="G39" s="4"/>
      <c r="H39" s="4"/>
    </row>
    <row r="40" spans="1:8" ht="17.25" customHeight="1">
      <c r="A40" s="3" t="s">
        <v>215</v>
      </c>
      <c r="B40" s="4"/>
      <c r="C40" s="1089"/>
      <c r="D40" s="1091"/>
      <c r="E40" s="4"/>
      <c r="F40" s="4"/>
      <c r="G40" s="4"/>
      <c r="H40" s="4"/>
    </row>
    <row r="41" spans="1:8" ht="17.25" customHeight="1">
      <c r="A41" s="3" t="s">
        <v>216</v>
      </c>
      <c r="B41" s="4"/>
      <c r="C41" s="1089"/>
      <c r="D41" s="1091"/>
      <c r="E41" s="4"/>
      <c r="F41" s="4"/>
      <c r="G41" s="4"/>
      <c r="H41" s="4"/>
    </row>
    <row r="42" spans="1:8" ht="17.25" customHeight="1">
      <c r="A42" s="3" t="s">
        <v>217</v>
      </c>
      <c r="B42" s="4"/>
      <c r="C42" s="1089"/>
      <c r="D42" s="1091"/>
      <c r="E42" s="4"/>
      <c r="F42" s="4"/>
      <c r="G42" s="4"/>
      <c r="H42" s="4"/>
    </row>
    <row r="43" spans="1:8" ht="17.25" customHeight="1">
      <c r="A43" s="3" t="s">
        <v>218</v>
      </c>
      <c r="B43" s="4"/>
      <c r="C43" s="1089"/>
      <c r="D43" s="1091"/>
      <c r="E43" s="4"/>
      <c r="F43" s="4"/>
      <c r="G43" s="4"/>
      <c r="H43" s="4"/>
    </row>
    <row r="44" spans="1:8" ht="17.25" customHeight="1">
      <c r="A44" s="1229" t="s">
        <v>219</v>
      </c>
      <c r="B44" s="1244"/>
      <c r="C44" s="1244"/>
      <c r="D44" s="1244"/>
      <c r="E44" s="1244"/>
      <c r="F44" s="1244"/>
      <c r="G44" s="1244"/>
      <c r="H44" s="1230"/>
    </row>
    <row r="45" spans="1:8" ht="17.25" customHeight="1">
      <c r="A45" s="1229" t="s">
        <v>220</v>
      </c>
      <c r="B45" s="1244"/>
      <c r="C45" s="1244"/>
      <c r="D45" s="1244"/>
      <c r="E45" s="1244"/>
      <c r="F45" s="1244"/>
      <c r="G45" s="1244"/>
      <c r="H45" s="1230"/>
    </row>
    <row r="46" spans="1:8" ht="17.25" customHeight="1">
      <c r="A46" s="1229" t="s">
        <v>221</v>
      </c>
      <c r="B46" s="1244"/>
      <c r="C46" s="1244"/>
      <c r="D46" s="1244"/>
      <c r="E46" s="1244"/>
      <c r="F46" s="1244"/>
      <c r="G46" s="1244"/>
      <c r="H46" s="1230"/>
    </row>
    <row r="47" spans="1:8" ht="17.25" customHeight="1">
      <c r="A47" s="1076" t="s">
        <v>222</v>
      </c>
      <c r="B47" s="1077"/>
      <c r="C47" s="1077"/>
      <c r="D47" s="1077"/>
      <c r="E47" s="1077"/>
      <c r="F47" s="1077"/>
      <c r="G47" s="1077"/>
      <c r="H47" s="1078"/>
    </row>
    <row r="48" spans="1:8" ht="21" customHeight="1">
      <c r="A48" s="1224" t="s">
        <v>223</v>
      </c>
      <c r="B48" s="1236"/>
      <c r="C48" s="1236"/>
      <c r="D48" s="1236"/>
      <c r="E48" s="1236"/>
      <c r="F48" s="1236"/>
      <c r="G48" s="1236"/>
      <c r="H48" s="1225"/>
    </row>
    <row r="49" spans="1:8" ht="17.25" customHeight="1">
      <c r="A49" s="1224" t="s">
        <v>224</v>
      </c>
      <c r="B49" s="1236"/>
      <c r="C49" s="1236"/>
      <c r="D49" s="1236"/>
      <c r="E49" s="1236"/>
      <c r="F49" s="1236"/>
      <c r="G49" s="1236"/>
      <c r="H49" s="1225"/>
    </row>
    <row r="50" spans="1:8" ht="34.5" customHeight="1">
      <c r="A50" s="1229" t="s">
        <v>225</v>
      </c>
      <c r="B50" s="1244"/>
      <c r="C50" s="1244"/>
      <c r="D50" s="1244"/>
      <c r="E50" s="1244"/>
      <c r="F50" s="1244"/>
      <c r="G50" s="1244"/>
      <c r="H50" s="1230"/>
    </row>
    <row r="51" spans="1:8" ht="18" customHeight="1">
      <c r="A51" s="1224" t="s">
        <v>226</v>
      </c>
      <c r="B51" s="1236"/>
      <c r="C51" s="1236"/>
      <c r="D51" s="1236"/>
      <c r="E51" s="1236"/>
      <c r="F51" s="1236"/>
      <c r="G51" s="1236"/>
      <c r="H51" s="1225"/>
    </row>
    <row r="52" spans="1:8" ht="34.5" customHeight="1">
      <c r="A52" s="1229" t="s">
        <v>227</v>
      </c>
      <c r="B52" s="1244"/>
      <c r="C52" s="1244"/>
      <c r="D52" s="1244"/>
      <c r="E52" s="1244"/>
      <c r="F52" s="1244"/>
      <c r="G52" s="1244"/>
      <c r="H52" s="1230"/>
    </row>
    <row r="53" spans="1:8" ht="17.25" customHeight="1">
      <c r="A53" s="1224" t="s">
        <v>228</v>
      </c>
      <c r="B53" s="1236"/>
      <c r="C53" s="1236"/>
      <c r="D53" s="1236"/>
      <c r="E53" s="1236"/>
      <c r="F53" s="1236"/>
      <c r="G53" s="1236"/>
      <c r="H53" s="1225"/>
    </row>
    <row r="54" spans="1:8" ht="24" customHeight="1">
      <c r="A54" s="1224" t="s">
        <v>229</v>
      </c>
      <c r="B54" s="1236"/>
      <c r="C54" s="1236"/>
      <c r="D54" s="1236"/>
      <c r="E54" s="1236"/>
      <c r="F54" s="1236"/>
      <c r="G54" s="1236"/>
      <c r="H54" s="1225"/>
    </row>
    <row r="55" spans="1:8" ht="34.5" customHeight="1">
      <c r="A55" s="1229" t="s">
        <v>230</v>
      </c>
      <c r="B55" s="1244"/>
      <c r="C55" s="1244"/>
      <c r="D55" s="1244"/>
      <c r="E55" s="1244"/>
      <c r="F55" s="1244"/>
      <c r="G55" s="1244"/>
      <c r="H55" s="1230"/>
    </row>
    <row r="56" spans="1:8" ht="25.5" customHeight="1">
      <c r="A56" s="1224" t="s">
        <v>231</v>
      </c>
      <c r="B56" s="1236"/>
      <c r="C56" s="1236"/>
      <c r="D56" s="1236"/>
      <c r="E56" s="1236"/>
      <c r="F56" s="1236"/>
      <c r="G56" s="1236"/>
      <c r="H56" s="1225"/>
    </row>
    <row r="57" spans="1:8" ht="25.5" customHeight="1">
      <c r="A57" s="1224" t="s">
        <v>232</v>
      </c>
      <c r="B57" s="1236"/>
      <c r="C57" s="1236"/>
      <c r="D57" s="1236"/>
      <c r="E57" s="1236"/>
      <c r="F57" s="1236"/>
      <c r="G57" s="1236"/>
      <c r="H57" s="1225"/>
    </row>
    <row r="58" spans="1:8" ht="34.5" customHeight="1">
      <c r="A58" s="1229" t="s">
        <v>233</v>
      </c>
      <c r="B58" s="1244"/>
      <c r="C58" s="1244"/>
      <c r="D58" s="1244"/>
      <c r="E58" s="1244"/>
      <c r="F58" s="1244"/>
      <c r="G58" s="1244"/>
      <c r="H58" s="1230"/>
    </row>
    <row r="59" spans="1:8" ht="34.5" customHeight="1">
      <c r="A59" s="1229" t="s">
        <v>234</v>
      </c>
      <c r="B59" s="1244"/>
      <c r="C59" s="1244"/>
      <c r="D59" s="1244"/>
      <c r="E59" s="1244"/>
      <c r="F59" s="1244"/>
      <c r="G59" s="1244"/>
      <c r="H59" s="1230"/>
    </row>
    <row r="60" spans="1:8" ht="44.25" customHeight="1">
      <c r="A60" s="1229" t="s">
        <v>235</v>
      </c>
      <c r="B60" s="1244"/>
      <c r="C60" s="1244"/>
      <c r="D60" s="1244"/>
      <c r="E60" s="1244"/>
      <c r="F60" s="1244"/>
      <c r="G60" s="1244"/>
      <c r="H60" s="1230"/>
    </row>
  </sheetData>
  <sheetProtection/>
  <mergeCells count="61">
    <mergeCell ref="C15:D15"/>
    <mergeCell ref="C16:D16"/>
    <mergeCell ref="C5:D5"/>
    <mergeCell ref="A1:C1"/>
    <mergeCell ref="D1:I1"/>
    <mergeCell ref="A2:I2"/>
    <mergeCell ref="C3:D3"/>
    <mergeCell ref="C4:D4"/>
    <mergeCell ref="C17:D17"/>
    <mergeCell ref="C6:D6"/>
    <mergeCell ref="C7:D7"/>
    <mergeCell ref="C8:D8"/>
    <mergeCell ref="C9:D9"/>
    <mergeCell ref="C10:D10"/>
    <mergeCell ref="C11:D11"/>
    <mergeCell ref="C12:D12"/>
    <mergeCell ref="C13:D13"/>
    <mergeCell ref="C14:D14"/>
    <mergeCell ref="C23:D23"/>
    <mergeCell ref="C24:D24"/>
    <mergeCell ref="C25:D25"/>
    <mergeCell ref="C26:D26"/>
    <mergeCell ref="C27:D27"/>
    <mergeCell ref="C28:D28"/>
    <mergeCell ref="C37:D37"/>
    <mergeCell ref="C38:D38"/>
    <mergeCell ref="C39:D39"/>
    <mergeCell ref="C40:D40"/>
    <mergeCell ref="C29:D29"/>
    <mergeCell ref="C18:D18"/>
    <mergeCell ref="C19:D19"/>
    <mergeCell ref="C20:D20"/>
    <mergeCell ref="C21:D21"/>
    <mergeCell ref="C22:D22"/>
    <mergeCell ref="A51:H51"/>
    <mergeCell ref="A52:H52"/>
    <mergeCell ref="C41:D41"/>
    <mergeCell ref="C30:D30"/>
    <mergeCell ref="C31:D31"/>
    <mergeCell ref="A32:H32"/>
    <mergeCell ref="C33:D33"/>
    <mergeCell ref="C34:D34"/>
    <mergeCell ref="C35:D35"/>
    <mergeCell ref="C36:D36"/>
    <mergeCell ref="A53:H53"/>
    <mergeCell ref="C42:D42"/>
    <mergeCell ref="C43:D43"/>
    <mergeCell ref="A44:H44"/>
    <mergeCell ref="A45:H45"/>
    <mergeCell ref="A46:H46"/>
    <mergeCell ref="A47:H47"/>
    <mergeCell ref="A48:H48"/>
    <mergeCell ref="A49:H49"/>
    <mergeCell ref="A50:H50"/>
    <mergeCell ref="A54:H54"/>
    <mergeCell ref="A60:H60"/>
    <mergeCell ref="A55:H55"/>
    <mergeCell ref="A56:H56"/>
    <mergeCell ref="A57:H57"/>
    <mergeCell ref="A58:H58"/>
    <mergeCell ref="A59:H59"/>
  </mergeCells>
  <printOptions horizontalCentered="1" verticalCentered="1"/>
  <pageMargins left="0.25" right="0.25" top="0.34" bottom="0.16" header="0.3" footer="0.3"/>
  <pageSetup horizontalDpi="600" verticalDpi="600" orientation="landscape" scale="75" r:id="rId1"/>
</worksheet>
</file>

<file path=xl/worksheets/sheet57.xml><?xml version="1.0" encoding="utf-8"?>
<worksheet xmlns="http://schemas.openxmlformats.org/spreadsheetml/2006/main" xmlns:r="http://schemas.openxmlformats.org/officeDocument/2006/relationships">
  <dimension ref="A1:J27"/>
  <sheetViews>
    <sheetView zoomScalePageLayoutView="0" workbookViewId="0" topLeftCell="A1">
      <selection activeCell="H1" sqref="H1:I1"/>
    </sheetView>
  </sheetViews>
  <sheetFormatPr defaultColWidth="9.33203125" defaultRowHeight="12.75"/>
  <cols>
    <col min="1" max="1" width="65.33203125" style="0" customWidth="1"/>
    <col min="2" max="2" width="20.5" style="0" customWidth="1"/>
    <col min="3" max="3" width="16" style="0" customWidth="1"/>
    <col min="4" max="5" width="12.5" style="0" customWidth="1"/>
    <col min="6" max="6" width="13.83203125" style="0" customWidth="1"/>
    <col min="7" max="7" width="0.1640625" style="0" hidden="1" customWidth="1"/>
    <col min="8" max="9" width="12.5" style="0" customWidth="1"/>
    <col min="10" max="10" width="6.83203125" style="0" customWidth="1"/>
  </cols>
  <sheetData>
    <row r="1" spans="1:10" ht="86.25" customHeight="1">
      <c r="A1" s="1220" t="s">
        <v>236</v>
      </c>
      <c r="B1" s="1220"/>
      <c r="C1" s="1220"/>
      <c r="D1" s="1220"/>
      <c r="E1" s="1220"/>
      <c r="F1" s="1220"/>
      <c r="H1" s="1220" t="s">
        <v>237</v>
      </c>
      <c r="I1" s="1220"/>
      <c r="J1" s="970"/>
    </row>
    <row r="2" spans="1:9" ht="15.75" customHeight="1">
      <c r="A2" s="17" t="s">
        <v>238</v>
      </c>
      <c r="B2" s="17" t="s">
        <v>239</v>
      </c>
      <c r="C2" s="17" t="s">
        <v>1358</v>
      </c>
      <c r="D2" s="981" t="s">
        <v>1357</v>
      </c>
      <c r="E2" s="981" t="s">
        <v>1356</v>
      </c>
      <c r="F2" s="1240" t="s">
        <v>1911</v>
      </c>
      <c r="G2" s="1241"/>
      <c r="H2" s="981" t="s">
        <v>1912</v>
      </c>
      <c r="I2" s="981" t="s">
        <v>1913</v>
      </c>
    </row>
    <row r="3" spans="1:9" ht="15.75" customHeight="1">
      <c r="A3" s="18">
        <v>1</v>
      </c>
      <c r="B3" s="18">
        <v>2</v>
      </c>
      <c r="C3" s="18">
        <v>3</v>
      </c>
      <c r="D3" s="18">
        <v>4</v>
      </c>
      <c r="E3" s="18">
        <v>5</v>
      </c>
      <c r="F3" s="1242">
        <v>6</v>
      </c>
      <c r="G3" s="1243"/>
      <c r="H3" s="18">
        <v>7</v>
      </c>
      <c r="I3" s="18">
        <v>8</v>
      </c>
    </row>
    <row r="4" spans="1:9" ht="15.75" customHeight="1">
      <c r="A4" s="19" t="s">
        <v>240</v>
      </c>
      <c r="B4" s="20" t="s">
        <v>241</v>
      </c>
      <c r="C4" s="4"/>
      <c r="D4" s="4"/>
      <c r="E4" s="4"/>
      <c r="F4" s="1089"/>
      <c r="G4" s="1091"/>
      <c r="H4" s="4"/>
      <c r="I4" s="4"/>
    </row>
    <row r="5" spans="1:9" ht="15.75" customHeight="1">
      <c r="A5" s="19" t="s">
        <v>242</v>
      </c>
      <c r="B5" s="20" t="s">
        <v>241</v>
      </c>
      <c r="C5" s="4"/>
      <c r="D5" s="4"/>
      <c r="E5" s="4"/>
      <c r="F5" s="1089"/>
      <c r="G5" s="1091"/>
      <c r="H5" s="4"/>
      <c r="I5" s="4"/>
    </row>
    <row r="6" spans="1:9" ht="15.75" customHeight="1">
      <c r="A6" s="5" t="s">
        <v>243</v>
      </c>
      <c r="B6" s="20" t="s">
        <v>241</v>
      </c>
      <c r="C6" s="4"/>
      <c r="D6" s="4"/>
      <c r="E6" s="4"/>
      <c r="F6" s="1089"/>
      <c r="G6" s="1091"/>
      <c r="H6" s="4"/>
      <c r="I6" s="4"/>
    </row>
    <row r="7" spans="1:9" ht="15.75" customHeight="1">
      <c r="A7" s="19" t="s">
        <v>244</v>
      </c>
      <c r="B7" s="20" t="s">
        <v>241</v>
      </c>
      <c r="C7" s="4"/>
      <c r="D7" s="4"/>
      <c r="E7" s="4"/>
      <c r="F7" s="1089"/>
      <c r="G7" s="1091"/>
      <c r="H7" s="4"/>
      <c r="I7" s="4"/>
    </row>
    <row r="8" spans="1:9" ht="15.75" customHeight="1">
      <c r="A8" s="21" t="s">
        <v>245</v>
      </c>
      <c r="B8" s="20" t="s">
        <v>241</v>
      </c>
      <c r="C8" s="4"/>
      <c r="D8" s="4"/>
      <c r="E8" s="4"/>
      <c r="F8" s="1089"/>
      <c r="G8" s="1091"/>
      <c r="H8" s="4"/>
      <c r="I8" s="4"/>
    </row>
    <row r="9" spans="1:9" ht="15.75" customHeight="1">
      <c r="A9" s="22" t="s">
        <v>246</v>
      </c>
      <c r="B9" s="20" t="s">
        <v>241</v>
      </c>
      <c r="C9" s="4"/>
      <c r="D9" s="4"/>
      <c r="E9" s="4"/>
      <c r="F9" s="1089"/>
      <c r="G9" s="1091"/>
      <c r="H9" s="4"/>
      <c r="I9" s="4"/>
    </row>
    <row r="10" spans="1:9" ht="15.75" customHeight="1">
      <c r="A10" s="22" t="s">
        <v>247</v>
      </c>
      <c r="B10" s="20" t="s">
        <v>241</v>
      </c>
      <c r="C10" s="4"/>
      <c r="D10" s="4"/>
      <c r="E10" s="4"/>
      <c r="F10" s="1089"/>
      <c r="G10" s="1091"/>
      <c r="H10" s="4"/>
      <c r="I10" s="4"/>
    </row>
    <row r="11" spans="1:9" ht="15.75" customHeight="1">
      <c r="A11" s="21" t="s">
        <v>248</v>
      </c>
      <c r="B11" s="20" t="s">
        <v>241</v>
      </c>
      <c r="C11" s="4"/>
      <c r="D11" s="4"/>
      <c r="E11" s="4"/>
      <c r="F11" s="1089"/>
      <c r="G11" s="1091"/>
      <c r="H11" s="4"/>
      <c r="I11" s="4"/>
    </row>
    <row r="12" spans="1:9" ht="15.75" customHeight="1">
      <c r="A12" s="22" t="s">
        <v>246</v>
      </c>
      <c r="B12" s="20" t="s">
        <v>241</v>
      </c>
      <c r="C12" s="4"/>
      <c r="D12" s="4"/>
      <c r="E12" s="4"/>
      <c r="F12" s="1089"/>
      <c r="G12" s="1091"/>
      <c r="H12" s="4"/>
      <c r="I12" s="4"/>
    </row>
    <row r="13" spans="1:9" ht="15.75" customHeight="1">
      <c r="A13" s="22" t="s">
        <v>247</v>
      </c>
      <c r="B13" s="20" t="s">
        <v>241</v>
      </c>
      <c r="C13" s="4"/>
      <c r="D13" s="4"/>
      <c r="E13" s="4"/>
      <c r="F13" s="1089"/>
      <c r="G13" s="1091"/>
      <c r="H13" s="4"/>
      <c r="I13" s="4"/>
    </row>
    <row r="14" spans="1:9" ht="15.75" customHeight="1">
      <c r="A14" s="19" t="s">
        <v>249</v>
      </c>
      <c r="B14" s="20" t="s">
        <v>241</v>
      </c>
      <c r="C14" s="4"/>
      <c r="D14" s="4"/>
      <c r="E14" s="4"/>
      <c r="F14" s="1089"/>
      <c r="G14" s="1091"/>
      <c r="H14" s="4"/>
      <c r="I14" s="4"/>
    </row>
    <row r="15" spans="1:9" ht="15.75" customHeight="1">
      <c r="A15" s="19" t="s">
        <v>250</v>
      </c>
      <c r="B15" s="20" t="s">
        <v>251</v>
      </c>
      <c r="C15" s="4"/>
      <c r="D15" s="4"/>
      <c r="E15" s="4"/>
      <c r="F15" s="1089"/>
      <c r="G15" s="1091"/>
      <c r="H15" s="4"/>
      <c r="I15" s="4"/>
    </row>
    <row r="16" spans="1:9" ht="15.75" customHeight="1">
      <c r="A16" s="19" t="s">
        <v>252</v>
      </c>
      <c r="B16" s="20" t="s">
        <v>253</v>
      </c>
      <c r="C16" s="4"/>
      <c r="D16" s="4"/>
      <c r="E16" s="4"/>
      <c r="F16" s="1089"/>
      <c r="G16" s="1091"/>
      <c r="H16" s="4"/>
      <c r="I16" s="4"/>
    </row>
    <row r="17" spans="1:9" ht="15.75" customHeight="1">
      <c r="A17" s="5" t="s">
        <v>254</v>
      </c>
      <c r="B17" s="20" t="s">
        <v>255</v>
      </c>
      <c r="C17" s="4"/>
      <c r="D17" s="4"/>
      <c r="E17" s="4"/>
      <c r="F17" s="1089"/>
      <c r="G17" s="1091"/>
      <c r="H17" s="4"/>
      <c r="I17" s="4"/>
    </row>
    <row r="18" spans="1:9" ht="15.75" customHeight="1">
      <c r="A18" s="5" t="s">
        <v>256</v>
      </c>
      <c r="B18" s="20" t="s">
        <v>255</v>
      </c>
      <c r="C18" s="4"/>
      <c r="D18" s="4"/>
      <c r="E18" s="4"/>
      <c r="F18" s="1089"/>
      <c r="G18" s="1091"/>
      <c r="H18" s="4"/>
      <c r="I18" s="4"/>
    </row>
    <row r="19" spans="1:9" ht="15.75" customHeight="1">
      <c r="A19" s="5" t="s">
        <v>257</v>
      </c>
      <c r="B19" s="20" t="s">
        <v>255</v>
      </c>
      <c r="C19" s="4"/>
      <c r="D19" s="4"/>
      <c r="E19" s="4"/>
      <c r="F19" s="1089"/>
      <c r="G19" s="1091"/>
      <c r="H19" s="4"/>
      <c r="I19" s="4"/>
    </row>
    <row r="20" spans="1:9" ht="15.75" customHeight="1">
      <c r="A20" s="5" t="s">
        <v>258</v>
      </c>
      <c r="B20" s="20" t="s">
        <v>255</v>
      </c>
      <c r="C20" s="4"/>
      <c r="D20" s="4"/>
      <c r="E20" s="4"/>
      <c r="F20" s="1089"/>
      <c r="G20" s="1091"/>
      <c r="H20" s="4"/>
      <c r="I20" s="4"/>
    </row>
    <row r="21" spans="1:9" ht="15.75" customHeight="1">
      <c r="A21" s="19" t="s">
        <v>259</v>
      </c>
      <c r="B21" s="20" t="s">
        <v>260</v>
      </c>
      <c r="C21" s="4"/>
      <c r="D21" s="4"/>
      <c r="E21" s="4"/>
      <c r="F21" s="1089"/>
      <c r="G21" s="1091"/>
      <c r="H21" s="4"/>
      <c r="I21" s="4"/>
    </row>
    <row r="22" spans="1:9" ht="15.75" customHeight="1">
      <c r="A22" s="19" t="s">
        <v>261</v>
      </c>
      <c r="B22" s="20" t="s">
        <v>262</v>
      </c>
      <c r="C22" s="4"/>
      <c r="D22" s="4"/>
      <c r="E22" s="4"/>
      <c r="F22" s="1089"/>
      <c r="G22" s="1091"/>
      <c r="H22" s="4"/>
      <c r="I22" s="4"/>
    </row>
    <row r="23" spans="1:9" ht="15.75" customHeight="1">
      <c r="A23" s="19" t="s">
        <v>263</v>
      </c>
      <c r="B23" s="20" t="s">
        <v>255</v>
      </c>
      <c r="C23" s="4"/>
      <c r="D23" s="4"/>
      <c r="E23" s="4"/>
      <c r="F23" s="1089"/>
      <c r="G23" s="1091"/>
      <c r="H23" s="4"/>
      <c r="I23" s="4"/>
    </row>
    <row r="24" spans="1:9" ht="15.75" customHeight="1">
      <c r="A24" s="19" t="s">
        <v>264</v>
      </c>
      <c r="B24" s="20" t="s">
        <v>265</v>
      </c>
      <c r="C24" s="4"/>
      <c r="D24" s="4"/>
      <c r="E24" s="4"/>
      <c r="F24" s="1089"/>
      <c r="G24" s="1091"/>
      <c r="H24" s="4"/>
      <c r="I24" s="4"/>
    </row>
    <row r="25" spans="1:9" ht="15.75" customHeight="1">
      <c r="A25" s="5" t="s">
        <v>266</v>
      </c>
      <c r="B25" s="20" t="s">
        <v>241</v>
      </c>
      <c r="C25" s="4"/>
      <c r="D25" s="4"/>
      <c r="E25" s="4"/>
      <c r="F25" s="1089"/>
      <c r="G25" s="1091"/>
      <c r="H25" s="4"/>
      <c r="I25" s="4"/>
    </row>
    <row r="26" spans="1:9" ht="15.75" customHeight="1">
      <c r="A26" s="19" t="s">
        <v>267</v>
      </c>
      <c r="B26" s="4"/>
      <c r="C26" s="4"/>
      <c r="D26" s="4"/>
      <c r="E26" s="4"/>
      <c r="F26" s="1089"/>
      <c r="G26" s="1091"/>
      <c r="H26" s="4"/>
      <c r="I26" s="4"/>
    </row>
    <row r="27" spans="1:10" ht="69" customHeight="1">
      <c r="A27" s="1198" t="s">
        <v>268</v>
      </c>
      <c r="B27" s="1198"/>
      <c r="C27" s="1198"/>
      <c r="D27" s="1198"/>
      <c r="E27" s="1198"/>
      <c r="F27" s="1198"/>
      <c r="G27" s="1198"/>
      <c r="H27" s="1198"/>
      <c r="I27" s="1198"/>
      <c r="J27" s="1198"/>
    </row>
  </sheetData>
  <sheetProtection/>
  <mergeCells count="28">
    <mergeCell ref="F14:G14"/>
    <mergeCell ref="F15:G15"/>
    <mergeCell ref="F16:G16"/>
    <mergeCell ref="F5:G5"/>
    <mergeCell ref="A1:F1"/>
    <mergeCell ref="F2:G2"/>
    <mergeCell ref="F3:G3"/>
    <mergeCell ref="F4:G4"/>
    <mergeCell ref="H1:I1"/>
    <mergeCell ref="F17:G17"/>
    <mergeCell ref="F6:G6"/>
    <mergeCell ref="F7:G7"/>
    <mergeCell ref="F8:G8"/>
    <mergeCell ref="F9:G9"/>
    <mergeCell ref="F10:G10"/>
    <mergeCell ref="F11:G11"/>
    <mergeCell ref="F12:G12"/>
    <mergeCell ref="F13:G13"/>
    <mergeCell ref="F18:G18"/>
    <mergeCell ref="F19:G19"/>
    <mergeCell ref="F25:G25"/>
    <mergeCell ref="F26:G26"/>
    <mergeCell ref="A27:J27"/>
    <mergeCell ref="F20:G20"/>
    <mergeCell ref="F21:G21"/>
    <mergeCell ref="F22:G22"/>
    <mergeCell ref="F23:G23"/>
    <mergeCell ref="F24:G24"/>
  </mergeCells>
  <printOptions horizontalCentered="1" verticalCentered="1"/>
  <pageMargins left="0.16" right="0.22" top="0.44" bottom="0.38" header="0.3" footer="0.3"/>
  <pageSetup horizontalDpi="600" verticalDpi="600" orientation="landscape" scale="85" r:id="rId1"/>
</worksheet>
</file>

<file path=xl/worksheets/sheet58.xml><?xml version="1.0" encoding="utf-8"?>
<worksheet xmlns="http://schemas.openxmlformats.org/spreadsheetml/2006/main" xmlns:r="http://schemas.openxmlformats.org/officeDocument/2006/relationships">
  <dimension ref="A1:Q38"/>
  <sheetViews>
    <sheetView zoomScalePageLayoutView="0" workbookViewId="0" topLeftCell="A1">
      <selection activeCell="A1" sqref="A1:M1"/>
    </sheetView>
  </sheetViews>
  <sheetFormatPr defaultColWidth="9.33203125" defaultRowHeight="12.75"/>
  <cols>
    <col min="1" max="1" width="6.16015625" style="0" customWidth="1"/>
    <col min="2" max="2" width="31.16015625" style="0" customWidth="1"/>
    <col min="3" max="3" width="15.16015625" style="0" customWidth="1"/>
    <col min="4" max="4" width="8.16015625" style="0" customWidth="1"/>
    <col min="5" max="5" width="12.5" style="0" customWidth="1"/>
    <col min="6" max="6" width="10.5" style="0" customWidth="1"/>
    <col min="7" max="7" width="9.5" style="0" customWidth="1"/>
    <col min="8" max="8" width="7.83203125" style="0" customWidth="1"/>
    <col min="9" max="9" width="10.83203125" style="0" customWidth="1"/>
    <col min="10" max="10" width="11.16015625" style="0" customWidth="1"/>
    <col min="11" max="11" width="9.33203125" style="0" customWidth="1"/>
    <col min="12" max="12" width="7.33203125" style="0" customWidth="1"/>
    <col min="13" max="13" width="2.16015625" style="0" customWidth="1"/>
    <col min="14" max="14" width="10.16015625" style="0" customWidth="1"/>
    <col min="15" max="15" width="10.5" style="0" customWidth="1"/>
    <col min="16" max="16" width="9.83203125" style="0" customWidth="1"/>
    <col min="17" max="17" width="3.5" style="0" customWidth="1"/>
  </cols>
  <sheetData>
    <row r="1" spans="1:17" ht="75.75" customHeight="1">
      <c r="A1" s="1387" t="s">
        <v>269</v>
      </c>
      <c r="B1" s="1387"/>
      <c r="C1" s="1376" t="s">
        <v>270</v>
      </c>
      <c r="D1" s="1376"/>
      <c r="E1" s="1376"/>
      <c r="F1" s="1376"/>
      <c r="G1" s="1376"/>
      <c r="H1" s="1376"/>
      <c r="I1" s="1376"/>
      <c r="J1" s="1376"/>
      <c r="K1" s="1376"/>
      <c r="L1" s="1376"/>
      <c r="M1" s="1376"/>
      <c r="N1" s="1235" t="s">
        <v>271</v>
      </c>
      <c r="O1" s="1235"/>
      <c r="P1" s="1235"/>
      <c r="Q1" s="1235"/>
    </row>
    <row r="2" spans="1:17" ht="51.75" customHeight="1">
      <c r="A2" s="1198" t="s">
        <v>272</v>
      </c>
      <c r="B2" s="1198"/>
      <c r="C2" s="1198"/>
      <c r="D2" s="1198"/>
      <c r="E2" s="1198"/>
      <c r="F2" s="1198"/>
      <c r="G2" s="1198"/>
      <c r="H2" s="1198"/>
      <c r="I2" s="1198"/>
      <c r="J2" s="1198"/>
      <c r="K2" s="1198"/>
      <c r="L2" s="1198"/>
      <c r="M2" s="1198"/>
      <c r="N2" s="1198"/>
      <c r="O2" s="1198"/>
      <c r="P2" s="1198"/>
      <c r="Q2" s="1198"/>
    </row>
    <row r="3" spans="1:16" ht="34.5" customHeight="1">
      <c r="A3" s="5" t="s">
        <v>273</v>
      </c>
      <c r="B3" s="1076" t="s">
        <v>274</v>
      </c>
      <c r="C3" s="1078"/>
      <c r="D3" s="1080" t="s">
        <v>275</v>
      </c>
      <c r="E3" s="1081"/>
      <c r="F3" s="1081"/>
      <c r="G3" s="1082"/>
      <c r="H3" s="1080" t="s">
        <v>276</v>
      </c>
      <c r="I3" s="1081"/>
      <c r="J3" s="1081"/>
      <c r="K3" s="1082"/>
      <c r="L3" s="1388" t="s">
        <v>277</v>
      </c>
      <c r="M3" s="1389"/>
      <c r="N3" s="1389"/>
      <c r="O3" s="1389"/>
      <c r="P3" s="1390"/>
    </row>
    <row r="4" spans="1:16" ht="17.25" customHeight="1">
      <c r="A4" s="11">
        <v>1</v>
      </c>
      <c r="B4" s="1216">
        <v>2</v>
      </c>
      <c r="C4" s="1217"/>
      <c r="D4" s="11">
        <v>3</v>
      </c>
      <c r="E4" s="11">
        <v>4</v>
      </c>
      <c r="F4" s="11">
        <v>5</v>
      </c>
      <c r="G4" s="11">
        <v>6</v>
      </c>
      <c r="H4" s="11">
        <v>7</v>
      </c>
      <c r="I4" s="11">
        <v>8</v>
      </c>
      <c r="J4" s="11">
        <v>9</v>
      </c>
      <c r="K4" s="11">
        <v>10</v>
      </c>
      <c r="L4" s="23">
        <v>11</v>
      </c>
      <c r="M4" s="1216">
        <v>12</v>
      </c>
      <c r="N4" s="1217"/>
      <c r="O4" s="11">
        <v>13</v>
      </c>
      <c r="P4" s="11">
        <v>14</v>
      </c>
    </row>
    <row r="5" spans="1:16" ht="33" customHeight="1">
      <c r="A5" s="6"/>
      <c r="B5" s="1209"/>
      <c r="C5" s="1097"/>
      <c r="D5" s="24" t="s">
        <v>278</v>
      </c>
      <c r="E5" s="25" t="s">
        <v>279</v>
      </c>
      <c r="F5" s="5" t="s">
        <v>280</v>
      </c>
      <c r="G5" s="5" t="s">
        <v>281</v>
      </c>
      <c r="H5" s="24" t="s">
        <v>278</v>
      </c>
      <c r="I5" s="5" t="s">
        <v>279</v>
      </c>
      <c r="J5" s="5" t="s">
        <v>280</v>
      </c>
      <c r="K5" s="5" t="s">
        <v>281</v>
      </c>
      <c r="L5" s="26" t="s">
        <v>278</v>
      </c>
      <c r="M5" s="1385" t="s">
        <v>279</v>
      </c>
      <c r="N5" s="1386"/>
      <c r="O5" s="5" t="s">
        <v>280</v>
      </c>
      <c r="P5" s="5" t="s">
        <v>281</v>
      </c>
    </row>
    <row r="6" spans="1:16" ht="17.25" customHeight="1">
      <c r="A6" s="4"/>
      <c r="B6" s="1229" t="s">
        <v>282</v>
      </c>
      <c r="C6" s="1230"/>
      <c r="D6" s="4"/>
      <c r="E6" s="4"/>
      <c r="F6" s="4"/>
      <c r="G6" s="4"/>
      <c r="H6" s="4"/>
      <c r="I6" s="4"/>
      <c r="J6" s="4"/>
      <c r="K6" s="4"/>
      <c r="L6" s="4"/>
      <c r="M6" s="1089"/>
      <c r="N6" s="1091"/>
      <c r="O6" s="4"/>
      <c r="P6" s="4"/>
    </row>
    <row r="7" spans="1:16" ht="34.5" customHeight="1">
      <c r="A7" s="13" t="s">
        <v>283</v>
      </c>
      <c r="B7" s="1229" t="s">
        <v>284</v>
      </c>
      <c r="C7" s="1230"/>
      <c r="D7" s="6"/>
      <c r="E7" s="6"/>
      <c r="F7" s="6"/>
      <c r="G7" s="6"/>
      <c r="H7" s="6"/>
      <c r="I7" s="6"/>
      <c r="J7" s="6"/>
      <c r="K7" s="6"/>
      <c r="L7" s="6"/>
      <c r="M7" s="1209"/>
      <c r="N7" s="1097"/>
      <c r="O7" s="6"/>
      <c r="P7" s="6"/>
    </row>
    <row r="8" spans="1:16" ht="34.5" customHeight="1">
      <c r="A8" s="9">
        <v>2</v>
      </c>
      <c r="B8" s="1229" t="s">
        <v>285</v>
      </c>
      <c r="C8" s="1230"/>
      <c r="D8" s="6"/>
      <c r="E8" s="6"/>
      <c r="F8" s="6"/>
      <c r="G8" s="6"/>
      <c r="H8" s="6"/>
      <c r="I8" s="6"/>
      <c r="J8" s="6"/>
      <c r="K8" s="6"/>
      <c r="L8" s="6"/>
      <c r="M8" s="1209"/>
      <c r="N8" s="1097"/>
      <c r="O8" s="6"/>
      <c r="P8" s="6"/>
    </row>
    <row r="9" spans="1:16" ht="17.25" customHeight="1">
      <c r="A9" s="9">
        <v>3</v>
      </c>
      <c r="B9" s="1224" t="s">
        <v>286</v>
      </c>
      <c r="C9" s="1225"/>
      <c r="D9" s="4"/>
      <c r="E9" s="4"/>
      <c r="F9" s="4"/>
      <c r="G9" s="4"/>
      <c r="H9" s="4"/>
      <c r="I9" s="4"/>
      <c r="J9" s="4"/>
      <c r="K9" s="4"/>
      <c r="L9" s="4"/>
      <c r="M9" s="1089"/>
      <c r="N9" s="1091"/>
      <c r="O9" s="4"/>
      <c r="P9" s="4"/>
    </row>
    <row r="10" spans="1:16" ht="17.25" customHeight="1">
      <c r="A10" s="9">
        <v>4</v>
      </c>
      <c r="B10" s="1224" t="s">
        <v>287</v>
      </c>
      <c r="C10" s="1225"/>
      <c r="D10" s="4"/>
      <c r="E10" s="4"/>
      <c r="F10" s="4"/>
      <c r="G10" s="4"/>
      <c r="H10" s="4"/>
      <c r="I10" s="4"/>
      <c r="J10" s="4"/>
      <c r="K10" s="4"/>
      <c r="L10" s="4"/>
      <c r="M10" s="1089"/>
      <c r="N10" s="1091"/>
      <c r="O10" s="4"/>
      <c r="P10" s="4"/>
    </row>
    <row r="11" spans="1:16" ht="17.25" customHeight="1">
      <c r="A11" s="13" t="s">
        <v>288</v>
      </c>
      <c r="B11" s="1229" t="s">
        <v>289</v>
      </c>
      <c r="C11" s="1230"/>
      <c r="D11" s="4"/>
      <c r="E11" s="4"/>
      <c r="F11" s="4"/>
      <c r="G11" s="4"/>
      <c r="H11" s="4"/>
      <c r="I11" s="4"/>
      <c r="J11" s="4"/>
      <c r="K11" s="4"/>
      <c r="L11" s="4"/>
      <c r="M11" s="1089"/>
      <c r="N11" s="1091"/>
      <c r="O11" s="4"/>
      <c r="P11" s="4"/>
    </row>
    <row r="12" spans="1:16" ht="17.25" customHeight="1">
      <c r="A12" s="9">
        <v>1</v>
      </c>
      <c r="B12" s="1224" t="s">
        <v>290</v>
      </c>
      <c r="C12" s="1225"/>
      <c r="D12" s="4"/>
      <c r="E12" s="4"/>
      <c r="F12" s="4"/>
      <c r="G12" s="4"/>
      <c r="H12" s="4"/>
      <c r="I12" s="4"/>
      <c r="J12" s="4"/>
      <c r="K12" s="4"/>
      <c r="L12" s="4"/>
      <c r="M12" s="1089"/>
      <c r="N12" s="1091"/>
      <c r="O12" s="4"/>
      <c r="P12" s="4"/>
    </row>
    <row r="13" spans="1:16" ht="17.25" customHeight="1">
      <c r="A13" s="9">
        <v>2</v>
      </c>
      <c r="B13" s="1224" t="s">
        <v>291</v>
      </c>
      <c r="C13" s="1225"/>
      <c r="D13" s="4"/>
      <c r="E13" s="4"/>
      <c r="F13" s="4"/>
      <c r="G13" s="4"/>
      <c r="H13" s="4"/>
      <c r="I13" s="4"/>
      <c r="J13" s="4"/>
      <c r="K13" s="4"/>
      <c r="L13" s="4"/>
      <c r="M13" s="1089"/>
      <c r="N13" s="1091"/>
      <c r="O13" s="4"/>
      <c r="P13" s="4"/>
    </row>
    <row r="14" spans="1:16" ht="17.25" customHeight="1">
      <c r="A14" s="9">
        <v>3</v>
      </c>
      <c r="B14" s="1224" t="s">
        <v>292</v>
      </c>
      <c r="C14" s="1225"/>
      <c r="D14" s="4"/>
      <c r="E14" s="4"/>
      <c r="F14" s="4"/>
      <c r="G14" s="4"/>
      <c r="H14" s="4"/>
      <c r="I14" s="4"/>
      <c r="J14" s="4"/>
      <c r="K14" s="4"/>
      <c r="L14" s="4"/>
      <c r="M14" s="1089"/>
      <c r="N14" s="1091"/>
      <c r="O14" s="4"/>
      <c r="P14" s="4"/>
    </row>
    <row r="15" spans="1:16" ht="15.75" customHeight="1">
      <c r="A15" s="4"/>
      <c r="B15" s="1089"/>
      <c r="C15" s="1091"/>
      <c r="D15" s="4"/>
      <c r="E15" s="4"/>
      <c r="F15" s="4"/>
      <c r="G15" s="4"/>
      <c r="H15" s="4"/>
      <c r="I15" s="4"/>
      <c r="J15" s="4"/>
      <c r="K15" s="4"/>
      <c r="L15" s="4"/>
      <c r="M15" s="1089"/>
      <c r="N15" s="1091"/>
      <c r="O15" s="4"/>
      <c r="P15" s="4"/>
    </row>
    <row r="16" spans="1:16" ht="17.25" customHeight="1">
      <c r="A16" s="4"/>
      <c r="B16" s="1229" t="s">
        <v>293</v>
      </c>
      <c r="C16" s="1230"/>
      <c r="D16" s="4"/>
      <c r="E16" s="4"/>
      <c r="F16" s="4"/>
      <c r="G16" s="4"/>
      <c r="H16" s="4"/>
      <c r="I16" s="4"/>
      <c r="J16" s="4"/>
      <c r="K16" s="4"/>
      <c r="L16" s="4"/>
      <c r="M16" s="1089"/>
      <c r="N16" s="1091"/>
      <c r="O16" s="4"/>
      <c r="P16" s="4"/>
    </row>
    <row r="17" spans="1:16" ht="17.25" customHeight="1">
      <c r="A17" s="13" t="s">
        <v>283</v>
      </c>
      <c r="B17" s="1229" t="s">
        <v>294</v>
      </c>
      <c r="C17" s="1230"/>
      <c r="D17" s="4"/>
      <c r="E17" s="4"/>
      <c r="F17" s="4"/>
      <c r="G17" s="4"/>
      <c r="H17" s="4"/>
      <c r="I17" s="4"/>
      <c r="J17" s="4"/>
      <c r="K17" s="4"/>
      <c r="L17" s="4"/>
      <c r="M17" s="1089"/>
      <c r="N17" s="1091"/>
      <c r="O17" s="4"/>
      <c r="P17" s="4"/>
    </row>
    <row r="18" spans="1:16" ht="34.5" customHeight="1">
      <c r="A18" s="9">
        <v>2</v>
      </c>
      <c r="B18" s="1229" t="s">
        <v>285</v>
      </c>
      <c r="C18" s="1230"/>
      <c r="D18" s="6"/>
      <c r="E18" s="6"/>
      <c r="F18" s="6"/>
      <c r="G18" s="6"/>
      <c r="H18" s="6"/>
      <c r="I18" s="6"/>
      <c r="J18" s="6"/>
      <c r="K18" s="6"/>
      <c r="L18" s="6"/>
      <c r="M18" s="1209"/>
      <c r="N18" s="1097"/>
      <c r="O18" s="6"/>
      <c r="P18" s="6"/>
    </row>
    <row r="19" spans="1:16" ht="17.25" customHeight="1">
      <c r="A19" s="9">
        <v>3</v>
      </c>
      <c r="B19" s="1224" t="s">
        <v>286</v>
      </c>
      <c r="C19" s="1225"/>
      <c r="D19" s="4"/>
      <c r="E19" s="4"/>
      <c r="F19" s="4"/>
      <c r="G19" s="4"/>
      <c r="H19" s="4"/>
      <c r="I19" s="4"/>
      <c r="J19" s="4"/>
      <c r="K19" s="4"/>
      <c r="L19" s="4"/>
      <c r="M19" s="1089"/>
      <c r="N19" s="1091"/>
      <c r="O19" s="4"/>
      <c r="P19" s="4"/>
    </row>
    <row r="20" spans="1:16" ht="17.25" customHeight="1">
      <c r="A20" s="9">
        <v>4</v>
      </c>
      <c r="B20" s="1224" t="s">
        <v>287</v>
      </c>
      <c r="C20" s="1225"/>
      <c r="D20" s="4"/>
      <c r="E20" s="4"/>
      <c r="F20" s="4"/>
      <c r="G20" s="4"/>
      <c r="H20" s="4"/>
      <c r="I20" s="4"/>
      <c r="J20" s="4"/>
      <c r="K20" s="4"/>
      <c r="L20" s="4"/>
      <c r="M20" s="1089"/>
      <c r="N20" s="1091"/>
      <c r="O20" s="4"/>
      <c r="P20" s="4"/>
    </row>
    <row r="21" spans="1:16" ht="17.25" customHeight="1">
      <c r="A21" s="11">
        <v>1</v>
      </c>
      <c r="B21" s="1216">
        <v>2</v>
      </c>
      <c r="C21" s="1217"/>
      <c r="D21" s="11">
        <v>3</v>
      </c>
      <c r="E21" s="11">
        <v>4</v>
      </c>
      <c r="F21" s="11">
        <v>5</v>
      </c>
      <c r="G21" s="11">
        <v>6</v>
      </c>
      <c r="H21" s="11">
        <v>7</v>
      </c>
      <c r="I21" s="11">
        <v>8</v>
      </c>
      <c r="J21" s="11">
        <v>9</v>
      </c>
      <c r="K21" s="11">
        <v>10</v>
      </c>
      <c r="L21" s="23">
        <v>11</v>
      </c>
      <c r="M21" s="1216">
        <v>12</v>
      </c>
      <c r="N21" s="1217"/>
      <c r="O21" s="11">
        <v>13</v>
      </c>
      <c r="P21" s="11">
        <v>14</v>
      </c>
    </row>
    <row r="22" spans="1:16" ht="33" customHeight="1">
      <c r="A22" s="6"/>
      <c r="B22" s="1209"/>
      <c r="C22" s="1097"/>
      <c r="D22" s="24" t="s">
        <v>278</v>
      </c>
      <c r="E22" s="25" t="s">
        <v>295</v>
      </c>
      <c r="F22" s="27" t="s">
        <v>296</v>
      </c>
      <c r="G22" s="5" t="s">
        <v>281</v>
      </c>
      <c r="H22" s="24" t="s">
        <v>278</v>
      </c>
      <c r="I22" s="5" t="s">
        <v>295</v>
      </c>
      <c r="J22" s="27" t="s">
        <v>296</v>
      </c>
      <c r="K22" s="5" t="s">
        <v>281</v>
      </c>
      <c r="L22" s="26" t="s">
        <v>278</v>
      </c>
      <c r="M22" s="1385" t="s">
        <v>295</v>
      </c>
      <c r="N22" s="1386"/>
      <c r="O22" s="27" t="s">
        <v>296</v>
      </c>
      <c r="P22" s="5" t="s">
        <v>281</v>
      </c>
    </row>
    <row r="23" spans="1:16" ht="17.25" customHeight="1">
      <c r="A23" s="13" t="s">
        <v>288</v>
      </c>
      <c r="B23" s="1229" t="s">
        <v>289</v>
      </c>
      <c r="C23" s="1230"/>
      <c r="D23" s="4"/>
      <c r="E23" s="4"/>
      <c r="F23" s="4"/>
      <c r="G23" s="4"/>
      <c r="H23" s="4"/>
      <c r="I23" s="4"/>
      <c r="J23" s="4"/>
      <c r="K23" s="4"/>
      <c r="L23" s="4"/>
      <c r="M23" s="1089"/>
      <c r="N23" s="1091"/>
      <c r="O23" s="4"/>
      <c r="P23" s="4"/>
    </row>
    <row r="24" spans="1:16" ht="17.25" customHeight="1">
      <c r="A24" s="9">
        <v>1</v>
      </c>
      <c r="B24" s="1224" t="s">
        <v>290</v>
      </c>
      <c r="C24" s="1225"/>
      <c r="D24" s="4"/>
      <c r="E24" s="4"/>
      <c r="F24" s="4"/>
      <c r="G24" s="4"/>
      <c r="H24" s="4"/>
      <c r="I24" s="4"/>
      <c r="J24" s="4"/>
      <c r="K24" s="4"/>
      <c r="L24" s="4"/>
      <c r="M24" s="1089"/>
      <c r="N24" s="1091"/>
      <c r="O24" s="4"/>
      <c r="P24" s="4"/>
    </row>
    <row r="25" spans="1:16" ht="17.25" customHeight="1">
      <c r="A25" s="9">
        <v>2</v>
      </c>
      <c r="B25" s="1224" t="s">
        <v>291</v>
      </c>
      <c r="C25" s="1225"/>
      <c r="D25" s="4"/>
      <c r="E25" s="4"/>
      <c r="F25" s="4"/>
      <c r="G25" s="4"/>
      <c r="H25" s="4"/>
      <c r="I25" s="4"/>
      <c r="J25" s="4"/>
      <c r="K25" s="4"/>
      <c r="L25" s="4"/>
      <c r="M25" s="1089"/>
      <c r="N25" s="1091"/>
      <c r="O25" s="4"/>
      <c r="P25" s="4"/>
    </row>
    <row r="26" spans="1:16" ht="17.25" customHeight="1">
      <c r="A26" s="9">
        <v>3</v>
      </c>
      <c r="B26" s="1224" t="s">
        <v>292</v>
      </c>
      <c r="C26" s="1225"/>
      <c r="D26" s="4"/>
      <c r="E26" s="4"/>
      <c r="F26" s="4"/>
      <c r="G26" s="4"/>
      <c r="H26" s="4"/>
      <c r="I26" s="4"/>
      <c r="J26" s="4"/>
      <c r="K26" s="4"/>
      <c r="L26" s="4"/>
      <c r="M26" s="1089"/>
      <c r="N26" s="1091"/>
      <c r="O26" s="4"/>
      <c r="P26" s="4"/>
    </row>
    <row r="27" spans="1:16" ht="15.75" customHeight="1">
      <c r="A27" s="4"/>
      <c r="B27" s="1089"/>
      <c r="C27" s="1091"/>
      <c r="D27" s="4"/>
      <c r="E27" s="4"/>
      <c r="F27" s="4"/>
      <c r="G27" s="4"/>
      <c r="H27" s="4"/>
      <c r="I27" s="4"/>
      <c r="J27" s="4"/>
      <c r="K27" s="4"/>
      <c r="L27" s="4"/>
      <c r="M27" s="1089"/>
      <c r="N27" s="1091"/>
      <c r="O27" s="4"/>
      <c r="P27" s="4"/>
    </row>
    <row r="28" spans="1:16" ht="17.25" customHeight="1">
      <c r="A28" s="4"/>
      <c r="B28" s="1229" t="s">
        <v>297</v>
      </c>
      <c r="C28" s="1230"/>
      <c r="D28" s="4"/>
      <c r="E28" s="4"/>
      <c r="F28" s="4"/>
      <c r="G28" s="4"/>
      <c r="H28" s="4"/>
      <c r="I28" s="4"/>
      <c r="J28" s="4"/>
      <c r="K28" s="4"/>
      <c r="L28" s="4"/>
      <c r="M28" s="1089"/>
      <c r="N28" s="1091"/>
      <c r="O28" s="4"/>
      <c r="P28" s="4"/>
    </row>
    <row r="29" spans="1:16" ht="17.25" customHeight="1">
      <c r="A29" s="13" t="s">
        <v>283</v>
      </c>
      <c r="B29" s="1229" t="s">
        <v>294</v>
      </c>
      <c r="C29" s="1230"/>
      <c r="D29" s="4"/>
      <c r="E29" s="4"/>
      <c r="F29" s="4"/>
      <c r="G29" s="4"/>
      <c r="H29" s="4"/>
      <c r="I29" s="4"/>
      <c r="J29" s="4"/>
      <c r="K29" s="4"/>
      <c r="L29" s="4"/>
      <c r="M29" s="1089"/>
      <c r="N29" s="1091"/>
      <c r="O29" s="4"/>
      <c r="P29" s="4"/>
    </row>
    <row r="30" spans="1:16" ht="34.5" customHeight="1">
      <c r="A30" s="9">
        <v>2</v>
      </c>
      <c r="B30" s="1229" t="s">
        <v>285</v>
      </c>
      <c r="C30" s="1230"/>
      <c r="D30" s="6"/>
      <c r="E30" s="6"/>
      <c r="F30" s="6"/>
      <c r="G30" s="6"/>
      <c r="H30" s="6"/>
      <c r="I30" s="6"/>
      <c r="J30" s="6"/>
      <c r="K30" s="6"/>
      <c r="L30" s="6"/>
      <c r="M30" s="1209"/>
      <c r="N30" s="1097"/>
      <c r="O30" s="6"/>
      <c r="P30" s="6"/>
    </row>
    <row r="31" spans="1:16" ht="17.25" customHeight="1">
      <c r="A31" s="9">
        <v>3</v>
      </c>
      <c r="B31" s="1224" t="s">
        <v>286</v>
      </c>
      <c r="C31" s="1225"/>
      <c r="D31" s="4"/>
      <c r="E31" s="4"/>
      <c r="F31" s="4"/>
      <c r="G31" s="4"/>
      <c r="H31" s="4"/>
      <c r="I31" s="4"/>
      <c r="J31" s="4"/>
      <c r="K31" s="4"/>
      <c r="L31" s="4"/>
      <c r="M31" s="1089"/>
      <c r="N31" s="1091"/>
      <c r="O31" s="4"/>
      <c r="P31" s="4"/>
    </row>
    <row r="32" spans="1:16" ht="17.25" customHeight="1">
      <c r="A32" s="9">
        <v>4</v>
      </c>
      <c r="B32" s="1224" t="s">
        <v>287</v>
      </c>
      <c r="C32" s="1225"/>
      <c r="D32" s="4"/>
      <c r="E32" s="4"/>
      <c r="F32" s="4"/>
      <c r="G32" s="4"/>
      <c r="H32" s="4"/>
      <c r="I32" s="4"/>
      <c r="J32" s="4"/>
      <c r="K32" s="4"/>
      <c r="L32" s="4"/>
      <c r="M32" s="1089"/>
      <c r="N32" s="1091"/>
      <c r="O32" s="4"/>
      <c r="P32" s="4"/>
    </row>
    <row r="33" spans="1:16" ht="17.25" customHeight="1">
      <c r="A33" s="13" t="s">
        <v>288</v>
      </c>
      <c r="B33" s="1229" t="s">
        <v>289</v>
      </c>
      <c r="C33" s="1230"/>
      <c r="D33" s="4"/>
      <c r="E33" s="4"/>
      <c r="F33" s="4"/>
      <c r="G33" s="4"/>
      <c r="H33" s="4"/>
      <c r="I33" s="4"/>
      <c r="J33" s="4"/>
      <c r="K33" s="4"/>
      <c r="L33" s="4"/>
      <c r="M33" s="1089"/>
      <c r="N33" s="1091"/>
      <c r="O33" s="4"/>
      <c r="P33" s="4"/>
    </row>
    <row r="34" spans="1:16" ht="17.25" customHeight="1">
      <c r="A34" s="9">
        <v>1</v>
      </c>
      <c r="B34" s="1224" t="s">
        <v>290</v>
      </c>
      <c r="C34" s="1225"/>
      <c r="D34" s="4"/>
      <c r="E34" s="4"/>
      <c r="F34" s="4"/>
      <c r="G34" s="4"/>
      <c r="H34" s="4"/>
      <c r="I34" s="4"/>
      <c r="J34" s="4"/>
      <c r="K34" s="4"/>
      <c r="L34" s="4"/>
      <c r="M34" s="1089"/>
      <c r="N34" s="1091"/>
      <c r="O34" s="4"/>
      <c r="P34" s="4"/>
    </row>
    <row r="35" spans="1:16" ht="17.25" customHeight="1">
      <c r="A35" s="9">
        <v>2</v>
      </c>
      <c r="B35" s="1224" t="s">
        <v>291</v>
      </c>
      <c r="C35" s="1225"/>
      <c r="D35" s="4"/>
      <c r="E35" s="4"/>
      <c r="F35" s="4"/>
      <c r="G35" s="4"/>
      <c r="H35" s="4"/>
      <c r="I35" s="4"/>
      <c r="J35" s="4"/>
      <c r="K35" s="4"/>
      <c r="L35" s="4"/>
      <c r="M35" s="1089"/>
      <c r="N35" s="1091"/>
      <c r="O35" s="4"/>
      <c r="P35" s="4"/>
    </row>
    <row r="36" spans="1:16" ht="17.25" customHeight="1">
      <c r="A36" s="9">
        <v>3</v>
      </c>
      <c r="B36" s="1224" t="s">
        <v>292</v>
      </c>
      <c r="C36" s="1225"/>
      <c r="D36" s="4"/>
      <c r="E36" s="4"/>
      <c r="F36" s="4"/>
      <c r="G36" s="4"/>
      <c r="H36" s="4"/>
      <c r="I36" s="4"/>
      <c r="J36" s="4"/>
      <c r="K36" s="4"/>
      <c r="L36" s="4"/>
      <c r="M36" s="1089"/>
      <c r="N36" s="1091"/>
      <c r="O36" s="4"/>
      <c r="P36" s="4"/>
    </row>
    <row r="37" spans="1:17" ht="81" customHeight="1">
      <c r="A37" s="1198" t="s">
        <v>298</v>
      </c>
      <c r="B37" s="1198"/>
      <c r="C37" s="1198"/>
      <c r="D37" s="1198"/>
      <c r="E37" s="1198"/>
      <c r="F37" s="1198"/>
      <c r="G37" s="1198"/>
      <c r="H37" s="1198"/>
      <c r="I37" s="1198"/>
      <c r="J37" s="1198"/>
      <c r="K37" s="1198"/>
      <c r="L37" s="1198"/>
      <c r="M37" s="1198"/>
      <c r="N37" s="1198"/>
      <c r="O37" s="1198"/>
      <c r="P37" s="1198"/>
      <c r="Q37" s="1198"/>
    </row>
    <row r="38" spans="1:17" ht="17.25" customHeight="1">
      <c r="A38" s="1252" t="s">
        <v>137</v>
      </c>
      <c r="B38" s="1252"/>
      <c r="C38" s="1252"/>
      <c r="D38" s="1252"/>
      <c r="E38" s="1252"/>
      <c r="F38" s="1252"/>
      <c r="G38" s="1252"/>
      <c r="H38" s="1252"/>
      <c r="I38" s="1252"/>
      <c r="J38" s="1252"/>
      <c r="K38" s="1252"/>
      <c r="L38" s="1252"/>
      <c r="M38" s="1252"/>
      <c r="N38" s="1252"/>
      <c r="O38" s="1252"/>
      <c r="P38" s="1252"/>
      <c r="Q38" s="1252"/>
    </row>
  </sheetData>
  <sheetProtection/>
  <mergeCells count="76">
    <mergeCell ref="A1:B1"/>
    <mergeCell ref="C1:M1"/>
    <mergeCell ref="N1:Q1"/>
    <mergeCell ref="A2:Q2"/>
    <mergeCell ref="B3:C3"/>
    <mergeCell ref="D3:G3"/>
    <mergeCell ref="H3:K3"/>
    <mergeCell ref="L3:P3"/>
    <mergeCell ref="B4:C4"/>
    <mergeCell ref="M4:N4"/>
    <mergeCell ref="B5:C5"/>
    <mergeCell ref="M5:N5"/>
    <mergeCell ref="B6:C6"/>
    <mergeCell ref="M6:N6"/>
    <mergeCell ref="B7:C7"/>
    <mergeCell ref="M7:N7"/>
    <mergeCell ref="B8:C8"/>
    <mergeCell ref="M8:N8"/>
    <mergeCell ref="B9:C9"/>
    <mergeCell ref="M9:N9"/>
    <mergeCell ref="B10:C10"/>
    <mergeCell ref="M10:N10"/>
    <mergeCell ref="B11:C11"/>
    <mergeCell ref="M11:N11"/>
    <mergeCell ref="B12:C12"/>
    <mergeCell ref="M12:N12"/>
    <mergeCell ref="B13:C13"/>
    <mergeCell ref="M13:N13"/>
    <mergeCell ref="B14:C14"/>
    <mergeCell ref="M14:N14"/>
    <mergeCell ref="B15:C15"/>
    <mergeCell ref="M15:N15"/>
    <mergeCell ref="B16:C16"/>
    <mergeCell ref="M16:N16"/>
    <mergeCell ref="B17:C17"/>
    <mergeCell ref="M17:N17"/>
    <mergeCell ref="B18:C18"/>
    <mergeCell ref="M18:N18"/>
    <mergeCell ref="B19:C19"/>
    <mergeCell ref="M19:N19"/>
    <mergeCell ref="B20:C20"/>
    <mergeCell ref="M20:N20"/>
    <mergeCell ref="B21:C21"/>
    <mergeCell ref="M21:N21"/>
    <mergeCell ref="B22:C22"/>
    <mergeCell ref="M22:N22"/>
    <mergeCell ref="B23:C23"/>
    <mergeCell ref="M23:N23"/>
    <mergeCell ref="B24:C24"/>
    <mergeCell ref="M24:N24"/>
    <mergeCell ref="B25:C25"/>
    <mergeCell ref="M25:N25"/>
    <mergeCell ref="B26:C26"/>
    <mergeCell ref="M26:N26"/>
    <mergeCell ref="B27:C27"/>
    <mergeCell ref="M27:N27"/>
    <mergeCell ref="B28:C28"/>
    <mergeCell ref="M28:N28"/>
    <mergeCell ref="B29:C29"/>
    <mergeCell ref="M29:N29"/>
    <mergeCell ref="B30:C30"/>
    <mergeCell ref="M30:N30"/>
    <mergeCell ref="B31:C31"/>
    <mergeCell ref="M31:N31"/>
    <mergeCell ref="B32:C32"/>
    <mergeCell ref="M32:N32"/>
    <mergeCell ref="B33:C33"/>
    <mergeCell ref="M33:N33"/>
    <mergeCell ref="A37:Q37"/>
    <mergeCell ref="A38:Q38"/>
    <mergeCell ref="B34:C34"/>
    <mergeCell ref="M34:N34"/>
    <mergeCell ref="B35:C35"/>
    <mergeCell ref="M35:N35"/>
    <mergeCell ref="B36:C36"/>
    <mergeCell ref="M36:N36"/>
  </mergeCells>
  <printOptions/>
  <pageMargins left="0.7" right="0.7" top="0.75" bottom="0.75" header="0.3" footer="0.3"/>
  <pageSetup orientation="portrait" paperSize="9"/>
  <drawing r:id="rId1"/>
</worksheet>
</file>

<file path=xl/worksheets/sheet59.xml><?xml version="1.0" encoding="utf-8"?>
<worksheet xmlns="http://schemas.openxmlformats.org/spreadsheetml/2006/main" xmlns:r="http://schemas.openxmlformats.org/officeDocument/2006/relationships">
  <dimension ref="A1:P24"/>
  <sheetViews>
    <sheetView zoomScalePageLayoutView="0" workbookViewId="0" topLeftCell="A7">
      <selection activeCell="F22" sqref="F22"/>
    </sheetView>
  </sheetViews>
  <sheetFormatPr defaultColWidth="9.33203125" defaultRowHeight="12.75"/>
  <cols>
    <col min="1" max="1" width="6.16015625" style="0" customWidth="1"/>
    <col min="2" max="2" width="34.83203125" style="0" customWidth="1"/>
    <col min="3" max="3" width="9.33203125" style="0" customWidth="1"/>
    <col min="4" max="4" width="13.5" style="0" customWidth="1"/>
    <col min="5" max="5" width="11.33203125" style="0" customWidth="1"/>
    <col min="6" max="6" width="12.5" style="0" customWidth="1"/>
    <col min="7" max="7" width="7.33203125" style="0" customWidth="1"/>
    <col min="8" max="8" width="11.83203125" style="0" customWidth="1"/>
    <col min="9" max="9" width="11.16015625" style="0" customWidth="1"/>
    <col min="10" max="10" width="11.33203125" style="0" customWidth="1"/>
    <col min="11" max="11" width="7.33203125" style="0" customWidth="1"/>
    <col min="12" max="12" width="12.5" style="0" customWidth="1"/>
    <col min="13" max="13" width="2.5" style="0" customWidth="1"/>
    <col min="14" max="14" width="10.66015625" style="0" customWidth="1"/>
    <col min="15" max="15" width="9.83203125" style="0" customWidth="1"/>
    <col min="16" max="16" width="3.5" style="0" customWidth="1"/>
  </cols>
  <sheetData>
    <row r="1" spans="1:16" ht="126" customHeight="1">
      <c r="A1" s="1198" t="s">
        <v>299</v>
      </c>
      <c r="B1" s="1198"/>
      <c r="C1" s="1198"/>
      <c r="D1" s="1198"/>
      <c r="E1" s="1198"/>
      <c r="F1" s="1198"/>
      <c r="G1" s="1198"/>
      <c r="H1" s="1198"/>
      <c r="I1" s="1198"/>
      <c r="J1" s="1198"/>
      <c r="K1" s="1198"/>
      <c r="L1" s="1198"/>
      <c r="M1" s="1391" t="s">
        <v>300</v>
      </c>
      <c r="N1" s="1391"/>
      <c r="O1" s="1391"/>
      <c r="P1" s="1391"/>
    </row>
    <row r="2" spans="1:15" ht="31.5" customHeight="1">
      <c r="A2" s="5" t="s">
        <v>301</v>
      </c>
      <c r="B2" s="28" t="s">
        <v>302</v>
      </c>
      <c r="C2" s="1392" t="s">
        <v>303</v>
      </c>
      <c r="D2" s="1393"/>
      <c r="E2" s="1393"/>
      <c r="F2" s="1241"/>
      <c r="G2" s="1394" t="s">
        <v>304</v>
      </c>
      <c r="H2" s="1395"/>
      <c r="I2" s="1395"/>
      <c r="J2" s="1396"/>
      <c r="K2" s="1394" t="s">
        <v>305</v>
      </c>
      <c r="L2" s="1395"/>
      <c r="M2" s="1395"/>
      <c r="N2" s="1395"/>
      <c r="O2" s="1396"/>
    </row>
    <row r="3" spans="1:15" ht="17.25" customHeight="1">
      <c r="A3" s="11">
        <v>1</v>
      </c>
      <c r="B3" s="11">
        <v>2</v>
      </c>
      <c r="C3" s="11">
        <v>3</v>
      </c>
      <c r="D3" s="11">
        <v>4</v>
      </c>
      <c r="E3" s="11">
        <v>5</v>
      </c>
      <c r="F3" s="11">
        <v>6</v>
      </c>
      <c r="G3" s="11">
        <v>7</v>
      </c>
      <c r="H3" s="11">
        <v>8</v>
      </c>
      <c r="I3" s="11">
        <v>9</v>
      </c>
      <c r="J3" s="11">
        <v>10</v>
      </c>
      <c r="K3" s="11">
        <v>11</v>
      </c>
      <c r="L3" s="1216">
        <v>12</v>
      </c>
      <c r="M3" s="1217"/>
      <c r="N3" s="11">
        <v>13</v>
      </c>
      <c r="O3" s="11">
        <v>14</v>
      </c>
    </row>
    <row r="4" spans="1:15" ht="33" customHeight="1">
      <c r="A4" s="6"/>
      <c r="B4" s="6"/>
      <c r="C4" s="24" t="s">
        <v>278</v>
      </c>
      <c r="D4" s="25" t="s">
        <v>279</v>
      </c>
      <c r="E4" s="5" t="s">
        <v>280</v>
      </c>
      <c r="F4" s="29" t="s">
        <v>306</v>
      </c>
      <c r="G4" s="24" t="s">
        <v>278</v>
      </c>
      <c r="H4" s="5" t="s">
        <v>279</v>
      </c>
      <c r="I4" s="5" t="s">
        <v>280</v>
      </c>
      <c r="J4" s="29" t="s">
        <v>306</v>
      </c>
      <c r="K4" s="24" t="s">
        <v>278</v>
      </c>
      <c r="L4" s="1385" t="s">
        <v>279</v>
      </c>
      <c r="M4" s="1386"/>
      <c r="N4" s="5" t="s">
        <v>280</v>
      </c>
      <c r="O4" s="5" t="s">
        <v>281</v>
      </c>
    </row>
    <row r="5" spans="1:15" ht="15.75" customHeight="1">
      <c r="A5" s="4"/>
      <c r="B5" s="5" t="s">
        <v>307</v>
      </c>
      <c r="C5" s="4"/>
      <c r="D5" s="4"/>
      <c r="E5" s="4"/>
      <c r="F5" s="4"/>
      <c r="G5" s="4"/>
      <c r="H5" s="4"/>
      <c r="I5" s="4"/>
      <c r="J5" s="4"/>
      <c r="K5" s="4"/>
      <c r="L5" s="1089"/>
      <c r="M5" s="1091"/>
      <c r="N5" s="4"/>
      <c r="O5" s="4"/>
    </row>
    <row r="6" spans="1:15" ht="15.75" customHeight="1">
      <c r="A6" s="20" t="s">
        <v>308</v>
      </c>
      <c r="B6" s="5" t="s">
        <v>309</v>
      </c>
      <c r="C6" s="4"/>
      <c r="D6" s="4"/>
      <c r="E6" s="4"/>
      <c r="F6" s="4"/>
      <c r="G6" s="4"/>
      <c r="H6" s="4"/>
      <c r="I6" s="4"/>
      <c r="J6" s="4"/>
      <c r="K6" s="4"/>
      <c r="L6" s="1089"/>
      <c r="M6" s="1091"/>
      <c r="N6" s="4"/>
      <c r="O6" s="4"/>
    </row>
    <row r="7" spans="1:15" ht="15.75" customHeight="1">
      <c r="A7" s="30">
        <v>2</v>
      </c>
      <c r="B7" s="4"/>
      <c r="C7" s="4"/>
      <c r="D7" s="4"/>
      <c r="E7" s="4"/>
      <c r="F7" s="4"/>
      <c r="G7" s="4"/>
      <c r="H7" s="4"/>
      <c r="I7" s="4"/>
      <c r="J7" s="4"/>
      <c r="K7" s="4"/>
      <c r="L7" s="1089"/>
      <c r="M7" s="1091"/>
      <c r="N7" s="4"/>
      <c r="O7" s="4"/>
    </row>
    <row r="8" spans="1:15" ht="15.75" customHeight="1">
      <c r="A8" s="30">
        <v>3</v>
      </c>
      <c r="B8" s="4"/>
      <c r="C8" s="4"/>
      <c r="D8" s="4"/>
      <c r="E8" s="4"/>
      <c r="F8" s="4"/>
      <c r="G8" s="4"/>
      <c r="H8" s="4"/>
      <c r="I8" s="4"/>
      <c r="J8" s="4"/>
      <c r="K8" s="4"/>
      <c r="L8" s="1089"/>
      <c r="M8" s="1091"/>
      <c r="N8" s="4"/>
      <c r="O8" s="4"/>
    </row>
    <row r="9" spans="1:15" ht="14.25" customHeight="1">
      <c r="A9" s="4"/>
      <c r="B9" s="4"/>
      <c r="C9" s="4"/>
      <c r="D9" s="4"/>
      <c r="E9" s="4"/>
      <c r="F9" s="4"/>
      <c r="G9" s="4"/>
      <c r="H9" s="4"/>
      <c r="I9" s="4"/>
      <c r="J9" s="4"/>
      <c r="K9" s="4"/>
      <c r="L9" s="1089"/>
      <c r="M9" s="1091"/>
      <c r="N9" s="4"/>
      <c r="O9" s="4"/>
    </row>
    <row r="10" spans="1:15" ht="15.75" customHeight="1">
      <c r="A10" s="4"/>
      <c r="B10" s="5" t="s">
        <v>310</v>
      </c>
      <c r="C10" s="4"/>
      <c r="D10" s="4"/>
      <c r="E10" s="4"/>
      <c r="F10" s="4"/>
      <c r="G10" s="4"/>
      <c r="H10" s="4"/>
      <c r="I10" s="4"/>
      <c r="J10" s="4"/>
      <c r="K10" s="4"/>
      <c r="L10" s="1089"/>
      <c r="M10" s="1091"/>
      <c r="N10" s="4"/>
      <c r="O10" s="4"/>
    </row>
    <row r="11" spans="1:15" ht="15.75" customHeight="1">
      <c r="A11" s="20" t="s">
        <v>308</v>
      </c>
      <c r="B11" s="5" t="s">
        <v>309</v>
      </c>
      <c r="C11" s="4"/>
      <c r="D11" s="4"/>
      <c r="E11" s="4"/>
      <c r="F11" s="4"/>
      <c r="G11" s="4"/>
      <c r="H11" s="4"/>
      <c r="I11" s="4"/>
      <c r="J11" s="4"/>
      <c r="K11" s="4"/>
      <c r="L11" s="1089"/>
      <c r="M11" s="1091"/>
      <c r="N11" s="4"/>
      <c r="O11" s="4"/>
    </row>
    <row r="12" spans="1:15" ht="15.75" customHeight="1">
      <c r="A12" s="30">
        <v>2</v>
      </c>
      <c r="B12" s="4"/>
      <c r="C12" s="4"/>
      <c r="D12" s="4"/>
      <c r="E12" s="4"/>
      <c r="F12" s="4"/>
      <c r="G12" s="4"/>
      <c r="H12" s="4"/>
      <c r="I12" s="4"/>
      <c r="J12" s="4"/>
      <c r="K12" s="4"/>
      <c r="L12" s="1089"/>
      <c r="M12" s="1091"/>
      <c r="N12" s="4"/>
      <c r="O12" s="4"/>
    </row>
    <row r="13" spans="1:15" ht="15.75" customHeight="1">
      <c r="A13" s="30">
        <v>3</v>
      </c>
      <c r="B13" s="4"/>
      <c r="C13" s="4"/>
      <c r="D13" s="4"/>
      <c r="E13" s="4"/>
      <c r="F13" s="4"/>
      <c r="G13" s="4"/>
      <c r="H13" s="4"/>
      <c r="I13" s="4"/>
      <c r="J13" s="4"/>
      <c r="K13" s="4"/>
      <c r="L13" s="1089"/>
      <c r="M13" s="1091"/>
      <c r="N13" s="4"/>
      <c r="O13" s="4"/>
    </row>
    <row r="14" spans="1:15" ht="14.25" customHeight="1">
      <c r="A14" s="4"/>
      <c r="B14" s="4"/>
      <c r="C14" s="4"/>
      <c r="D14" s="4"/>
      <c r="E14" s="4"/>
      <c r="F14" s="4"/>
      <c r="G14" s="4"/>
      <c r="H14" s="4"/>
      <c r="I14" s="4"/>
      <c r="J14" s="4"/>
      <c r="K14" s="4"/>
      <c r="L14" s="1089"/>
      <c r="M14" s="1091"/>
      <c r="N14" s="4"/>
      <c r="O14" s="4"/>
    </row>
    <row r="15" spans="1:15" ht="15.75" customHeight="1">
      <c r="A15" s="4"/>
      <c r="B15" s="5" t="s">
        <v>311</v>
      </c>
      <c r="C15" s="4"/>
      <c r="D15" s="4"/>
      <c r="E15" s="4"/>
      <c r="F15" s="4"/>
      <c r="G15" s="4"/>
      <c r="H15" s="4"/>
      <c r="I15" s="4"/>
      <c r="J15" s="4"/>
      <c r="K15" s="4"/>
      <c r="L15" s="1089"/>
      <c r="M15" s="1091"/>
      <c r="N15" s="4"/>
      <c r="O15" s="4"/>
    </row>
    <row r="16" spans="1:15" ht="15.75" customHeight="1">
      <c r="A16" s="20" t="s">
        <v>308</v>
      </c>
      <c r="B16" s="5" t="s">
        <v>309</v>
      </c>
      <c r="C16" s="4"/>
      <c r="D16" s="4"/>
      <c r="E16" s="4"/>
      <c r="F16" s="4"/>
      <c r="G16" s="4"/>
      <c r="H16" s="4"/>
      <c r="I16" s="4"/>
      <c r="J16" s="4"/>
      <c r="K16" s="4"/>
      <c r="L16" s="1089"/>
      <c r="M16" s="1091"/>
      <c r="N16" s="4"/>
      <c r="O16" s="4"/>
    </row>
    <row r="17" spans="1:15" ht="15.75" customHeight="1">
      <c r="A17" s="30">
        <v>2</v>
      </c>
      <c r="B17" s="4"/>
      <c r="C17" s="4"/>
      <c r="D17" s="4"/>
      <c r="E17" s="4"/>
      <c r="F17" s="4"/>
      <c r="G17" s="4"/>
      <c r="H17" s="4"/>
      <c r="I17" s="4"/>
      <c r="J17" s="4"/>
      <c r="K17" s="4"/>
      <c r="L17" s="1089"/>
      <c r="M17" s="1091"/>
      <c r="N17" s="4"/>
      <c r="O17" s="4"/>
    </row>
    <row r="18" spans="1:15" ht="15.75" customHeight="1">
      <c r="A18" s="30">
        <v>3</v>
      </c>
      <c r="B18" s="4"/>
      <c r="C18" s="4"/>
      <c r="D18" s="4"/>
      <c r="E18" s="4"/>
      <c r="F18" s="4"/>
      <c r="G18" s="4"/>
      <c r="H18" s="4"/>
      <c r="I18" s="4"/>
      <c r="J18" s="4"/>
      <c r="K18" s="4"/>
      <c r="L18" s="1089"/>
      <c r="M18" s="1091"/>
      <c r="N18" s="4"/>
      <c r="O18" s="4"/>
    </row>
    <row r="19" spans="1:15" ht="14.25" customHeight="1">
      <c r="A19" s="4"/>
      <c r="B19" s="4"/>
      <c r="C19" s="4"/>
      <c r="D19" s="4"/>
      <c r="E19" s="4"/>
      <c r="F19" s="4"/>
      <c r="G19" s="4"/>
      <c r="H19" s="4"/>
      <c r="I19" s="4"/>
      <c r="J19" s="4"/>
      <c r="K19" s="4"/>
      <c r="L19" s="1089"/>
      <c r="M19" s="1091"/>
      <c r="N19" s="4"/>
      <c r="O19" s="4"/>
    </row>
    <row r="20" spans="1:15" ht="15.75" customHeight="1">
      <c r="A20" s="4"/>
      <c r="B20" s="5" t="s">
        <v>312</v>
      </c>
      <c r="C20" s="4"/>
      <c r="D20" s="4"/>
      <c r="E20" s="4"/>
      <c r="F20" s="4"/>
      <c r="G20" s="4"/>
      <c r="H20" s="4"/>
      <c r="I20" s="4"/>
      <c r="J20" s="4"/>
      <c r="K20" s="4"/>
      <c r="L20" s="1089"/>
      <c r="M20" s="1091"/>
      <c r="N20" s="4"/>
      <c r="O20" s="4"/>
    </row>
    <row r="21" spans="1:15" ht="15.75" customHeight="1">
      <c r="A21" s="20" t="s">
        <v>308</v>
      </c>
      <c r="B21" s="5" t="s">
        <v>309</v>
      </c>
      <c r="C21" s="4"/>
      <c r="D21" s="4"/>
      <c r="E21" s="4"/>
      <c r="F21" s="4"/>
      <c r="G21" s="4"/>
      <c r="H21" s="4"/>
      <c r="I21" s="4"/>
      <c r="J21" s="4"/>
      <c r="K21" s="4"/>
      <c r="L21" s="1089"/>
      <c r="M21" s="1091"/>
      <c r="N21" s="4"/>
      <c r="O21" s="4"/>
    </row>
    <row r="22" spans="1:15" ht="15.75" customHeight="1">
      <c r="A22" s="30">
        <v>2</v>
      </c>
      <c r="B22" s="4"/>
      <c r="C22" s="4"/>
      <c r="D22" s="4"/>
      <c r="E22" s="4"/>
      <c r="F22" s="4"/>
      <c r="G22" s="4"/>
      <c r="H22" s="4"/>
      <c r="I22" s="4"/>
      <c r="J22" s="4"/>
      <c r="K22" s="4"/>
      <c r="L22" s="1089"/>
      <c r="M22" s="1091"/>
      <c r="N22" s="4"/>
      <c r="O22" s="4"/>
    </row>
    <row r="23" spans="1:15" ht="15.75" customHeight="1">
      <c r="A23" s="30">
        <v>3</v>
      </c>
      <c r="B23" s="4"/>
      <c r="C23" s="4"/>
      <c r="D23" s="4"/>
      <c r="E23" s="4"/>
      <c r="F23" s="4"/>
      <c r="G23" s="4"/>
      <c r="H23" s="4"/>
      <c r="I23" s="4"/>
      <c r="J23" s="4"/>
      <c r="K23" s="4"/>
      <c r="L23" s="1089"/>
      <c r="M23" s="1091"/>
      <c r="N23" s="4"/>
      <c r="O23" s="4"/>
    </row>
    <row r="24" spans="1:16" ht="33" customHeight="1">
      <c r="A24" s="1198" t="s">
        <v>313</v>
      </c>
      <c r="B24" s="1198"/>
      <c r="C24" s="1198"/>
      <c r="D24" s="1198"/>
      <c r="E24" s="1198"/>
      <c r="F24" s="1198"/>
      <c r="G24" s="1198"/>
      <c r="H24" s="1198"/>
      <c r="I24" s="1198"/>
      <c r="J24" s="1198"/>
      <c r="K24" s="1198"/>
      <c r="L24" s="1198"/>
      <c r="M24" s="1198"/>
      <c r="N24" s="1198"/>
      <c r="O24" s="1198"/>
      <c r="P24" s="1198"/>
    </row>
  </sheetData>
  <sheetProtection/>
  <mergeCells count="27">
    <mergeCell ref="L13:M13"/>
    <mergeCell ref="L14:M14"/>
    <mergeCell ref="L3:M3"/>
    <mergeCell ref="A1:L1"/>
    <mergeCell ref="M1:P1"/>
    <mergeCell ref="C2:F2"/>
    <mergeCell ref="G2:J2"/>
    <mergeCell ref="K2:O2"/>
    <mergeCell ref="L15:M15"/>
    <mergeCell ref="L4:M4"/>
    <mergeCell ref="L5:M5"/>
    <mergeCell ref="L6:M6"/>
    <mergeCell ref="L7:M7"/>
    <mergeCell ref="L8:M8"/>
    <mergeCell ref="L9:M9"/>
    <mergeCell ref="L10:M10"/>
    <mergeCell ref="L11:M11"/>
    <mergeCell ref="L12:M12"/>
    <mergeCell ref="L16:M16"/>
    <mergeCell ref="L17:M17"/>
    <mergeCell ref="L23:M23"/>
    <mergeCell ref="A24:P24"/>
    <mergeCell ref="L18:M18"/>
    <mergeCell ref="L19:M19"/>
    <mergeCell ref="L20:M20"/>
    <mergeCell ref="L21:M21"/>
    <mergeCell ref="L22:M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K44"/>
  <sheetViews>
    <sheetView view="pageBreakPreview" zoomScaleSheetLayoutView="100" zoomScalePageLayoutView="0" workbookViewId="0" topLeftCell="A26">
      <selection activeCell="A3" sqref="A3:K43"/>
    </sheetView>
  </sheetViews>
  <sheetFormatPr defaultColWidth="9.33203125" defaultRowHeight="12.75"/>
  <cols>
    <col min="1" max="1" width="9.33203125" style="90" customWidth="1"/>
    <col min="2" max="2" width="7" style="90" customWidth="1"/>
    <col min="3" max="3" width="33.5" style="90" customWidth="1"/>
    <col min="4" max="5" width="0" style="90" hidden="1" customWidth="1"/>
    <col min="6" max="6" width="7.66015625" style="90" hidden="1" customWidth="1"/>
    <col min="7" max="7" width="15.16015625" style="90" customWidth="1"/>
    <col min="8" max="8" width="15.33203125" style="90" customWidth="1"/>
    <col min="9" max="9" width="14.33203125" style="90" customWidth="1"/>
    <col min="10" max="10" width="9.16015625" style="90" customWidth="1"/>
    <col min="11" max="16384" width="9.33203125" style="90" customWidth="1"/>
  </cols>
  <sheetData>
    <row r="3" spans="2:9" ht="12.75">
      <c r="B3" s="369"/>
      <c r="I3" s="198" t="s">
        <v>1575</v>
      </c>
    </row>
    <row r="5" spans="4:5" ht="12.75">
      <c r="D5" s="198"/>
      <c r="E5" s="198"/>
    </row>
    <row r="7" spans="3:7" ht="12.75">
      <c r="C7" s="90" t="s">
        <v>1493</v>
      </c>
      <c r="G7" s="198" t="s">
        <v>1404</v>
      </c>
    </row>
    <row r="8" spans="3:7" ht="12.75">
      <c r="C8" s="90" t="s">
        <v>1576</v>
      </c>
      <c r="G8" s="90" t="s">
        <v>1577</v>
      </c>
    </row>
    <row r="9" ht="12.75">
      <c r="C9" s="198" t="s">
        <v>2028</v>
      </c>
    </row>
    <row r="11" ht="12.75">
      <c r="C11" s="198" t="s">
        <v>1578</v>
      </c>
    </row>
    <row r="13" ht="12.75">
      <c r="I13" s="90" t="s">
        <v>1579</v>
      </c>
    </row>
    <row r="14" spans="2:11" ht="12.75">
      <c r="B14" s="90" t="s">
        <v>1400</v>
      </c>
      <c r="C14" s="225" t="s">
        <v>1355</v>
      </c>
      <c r="E14" s="370"/>
      <c r="F14" s="370"/>
      <c r="G14" s="371" t="s">
        <v>1463</v>
      </c>
      <c r="H14" s="1067" t="s">
        <v>2029</v>
      </c>
      <c r="I14" s="1068"/>
      <c r="K14" s="199"/>
    </row>
    <row r="15" spans="3:11" ht="12.75">
      <c r="C15" s="225"/>
      <c r="D15" s="225"/>
      <c r="E15" s="225"/>
      <c r="F15" s="225"/>
      <c r="G15" s="372" t="s">
        <v>1911</v>
      </c>
      <c r="H15" s="372" t="s">
        <v>1912</v>
      </c>
      <c r="I15" s="225" t="s">
        <v>1913</v>
      </c>
      <c r="K15" s="209"/>
    </row>
    <row r="16" spans="2:11" ht="12.75">
      <c r="B16" s="90">
        <v>1</v>
      </c>
      <c r="C16" s="225" t="s">
        <v>1313</v>
      </c>
      <c r="D16" s="225"/>
      <c r="E16" s="225"/>
      <c r="F16" s="225"/>
      <c r="G16" s="217">
        <v>12.93</v>
      </c>
      <c r="H16" s="217">
        <v>12.62</v>
      </c>
      <c r="I16" s="217">
        <f>'Tariff calc 24-25'!S45</f>
        <v>14.6</v>
      </c>
      <c r="K16" s="212"/>
    </row>
    <row r="17" spans="2:11" ht="12.75">
      <c r="B17" s="90">
        <v>2</v>
      </c>
      <c r="C17" s="225" t="s">
        <v>1580</v>
      </c>
      <c r="D17" s="225"/>
      <c r="E17" s="225"/>
      <c r="F17" s="225"/>
      <c r="G17" s="214"/>
      <c r="H17" s="214"/>
      <c r="I17" s="225"/>
      <c r="K17" s="209"/>
    </row>
    <row r="18" spans="2:11" ht="12.75">
      <c r="B18" s="90">
        <v>3</v>
      </c>
      <c r="C18" s="225" t="s">
        <v>1581</v>
      </c>
      <c r="D18" s="225"/>
      <c r="E18" s="225"/>
      <c r="F18" s="225"/>
      <c r="G18" s="214"/>
      <c r="H18" s="214"/>
      <c r="I18" s="225"/>
      <c r="K18" s="209"/>
    </row>
    <row r="19" spans="2:11" ht="12.75">
      <c r="B19" s="90">
        <v>4</v>
      </c>
      <c r="C19" s="225" t="s">
        <v>1582</v>
      </c>
      <c r="D19" s="225"/>
      <c r="E19" s="225"/>
      <c r="F19" s="225"/>
      <c r="G19" s="214"/>
      <c r="H19" s="214"/>
      <c r="I19" s="225"/>
      <c r="K19" s="209"/>
    </row>
    <row r="20" spans="2:11" ht="12.75">
      <c r="B20" s="90">
        <v>5</v>
      </c>
      <c r="C20" s="225" t="s">
        <v>1583</v>
      </c>
      <c r="D20" s="225"/>
      <c r="E20" s="225"/>
      <c r="F20" s="225"/>
      <c r="G20" s="374">
        <v>1.53</v>
      </c>
      <c r="H20" s="217">
        <v>1.64</v>
      </c>
      <c r="I20" s="217">
        <f>'Tariff calc 24-25'!S46</f>
        <v>1.7485162500000004</v>
      </c>
      <c r="K20" s="212"/>
    </row>
    <row r="21" spans="2:11" ht="12.75">
      <c r="B21" s="90">
        <v>6</v>
      </c>
      <c r="C21" s="225" t="s">
        <v>1584</v>
      </c>
      <c r="D21" s="225"/>
      <c r="E21" s="225"/>
      <c r="F21" s="225"/>
      <c r="G21" s="217">
        <v>5.52</v>
      </c>
      <c r="H21" s="217">
        <v>5.9</v>
      </c>
      <c r="I21" s="217">
        <f>'Tariff calc 24-25'!S47</f>
        <v>6.294658500000001</v>
      </c>
      <c r="K21" s="212"/>
    </row>
    <row r="22" spans="2:11" ht="12.75">
      <c r="B22" s="90">
        <v>7</v>
      </c>
      <c r="C22" s="225" t="s">
        <v>1310</v>
      </c>
      <c r="D22" s="225"/>
      <c r="E22" s="225"/>
      <c r="F22" s="225"/>
      <c r="G22" s="217">
        <v>12.86</v>
      </c>
      <c r="H22" s="217">
        <v>23.17</v>
      </c>
      <c r="I22" s="217">
        <f>'Tariff calc 24-25'!S48</f>
        <v>26.55</v>
      </c>
      <c r="K22" s="212"/>
    </row>
    <row r="23" spans="2:11" ht="12.75">
      <c r="B23" s="90">
        <v>8</v>
      </c>
      <c r="C23" s="225" t="s">
        <v>1585</v>
      </c>
      <c r="D23" s="225"/>
      <c r="E23" s="225"/>
      <c r="F23" s="225"/>
      <c r="G23" s="217">
        <f>SUM(G16:G22)</f>
        <v>32.839999999999996</v>
      </c>
      <c r="H23" s="217">
        <f>SUM(H16:H22)</f>
        <v>43.33</v>
      </c>
      <c r="I23" s="217">
        <f>SUM(I16:I22)</f>
        <v>49.19317475</v>
      </c>
      <c r="K23" s="211"/>
    </row>
    <row r="24" spans="2:11" ht="12.75">
      <c r="B24" s="90">
        <v>9</v>
      </c>
      <c r="C24" s="225" t="s">
        <v>1586</v>
      </c>
      <c r="D24" s="225"/>
      <c r="E24" s="225"/>
      <c r="F24" s="225"/>
      <c r="G24" s="217">
        <v>10.5</v>
      </c>
      <c r="H24" s="217">
        <v>10.5</v>
      </c>
      <c r="I24" s="217">
        <v>10.5</v>
      </c>
      <c r="K24" s="212"/>
    </row>
    <row r="25" spans="2:11" ht="12.75">
      <c r="B25" s="90">
        <v>10</v>
      </c>
      <c r="C25" s="225" t="s">
        <v>1587</v>
      </c>
      <c r="D25" s="225"/>
      <c r="E25" s="225"/>
      <c r="F25" s="225"/>
      <c r="G25" s="217">
        <f>G23*0.105</f>
        <v>3.4481999999999995</v>
      </c>
      <c r="H25" s="217">
        <f>H23*0.105</f>
        <v>4.54965</v>
      </c>
      <c r="I25" s="217">
        <f>I23*0.105</f>
        <v>5.165283348749999</v>
      </c>
      <c r="K25" s="212"/>
    </row>
    <row r="28" ht="12.75">
      <c r="C28" s="375" t="s">
        <v>1588</v>
      </c>
    </row>
    <row r="29" spans="3:11" ht="51" customHeight="1">
      <c r="C29" s="1136" t="s">
        <v>1589</v>
      </c>
      <c r="D29" s="1136"/>
      <c r="E29" s="1136"/>
      <c r="F29" s="1136"/>
      <c r="G29" s="1136"/>
      <c r="H29" s="1136"/>
      <c r="I29" s="1136"/>
      <c r="J29" s="1136"/>
      <c r="K29" s="1136"/>
    </row>
    <row r="32" spans="3:10" ht="12.75">
      <c r="C32" s="369"/>
      <c r="J32" s="198" t="s">
        <v>1590</v>
      </c>
    </row>
    <row r="34" spans="4:7" ht="12.75">
      <c r="D34" s="90" t="s">
        <v>1497</v>
      </c>
      <c r="G34" s="198" t="s">
        <v>1404</v>
      </c>
    </row>
    <row r="35" ht="12.75">
      <c r="C35" s="201" t="s">
        <v>2028</v>
      </c>
    </row>
    <row r="36" ht="12.75">
      <c r="C36" s="198" t="s">
        <v>1592</v>
      </c>
    </row>
    <row r="37" spans="3:8" ht="12.75">
      <c r="C37" s="225" t="s">
        <v>1355</v>
      </c>
      <c r="G37" s="1135" t="s">
        <v>1593</v>
      </c>
      <c r="H37" s="1135"/>
    </row>
    <row r="38" spans="3:8" ht="12.75">
      <c r="C38" s="225"/>
      <c r="G38" s="1135"/>
      <c r="H38" s="1135"/>
    </row>
    <row r="39" spans="3:8" ht="12.75">
      <c r="C39" s="225" t="s">
        <v>1594</v>
      </c>
      <c r="G39" s="1137" t="s">
        <v>1595</v>
      </c>
      <c r="H39" s="1137"/>
    </row>
    <row r="40" spans="3:8" ht="12.75">
      <c r="C40" s="225" t="s">
        <v>1596</v>
      </c>
      <c r="D40" s="90" t="s">
        <v>1355</v>
      </c>
      <c r="G40" s="1135"/>
      <c r="H40" s="1135"/>
    </row>
    <row r="41" spans="3:8" ht="12.75">
      <c r="C41" s="225" t="s">
        <v>1597</v>
      </c>
      <c r="D41" s="90">
        <v>2</v>
      </c>
      <c r="G41" s="1135"/>
      <c r="H41" s="1135"/>
    </row>
    <row r="42" ht="12.75">
      <c r="D42" s="90" t="s">
        <v>1598</v>
      </c>
    </row>
    <row r="43" ht="12.75">
      <c r="D43" s="90" t="s">
        <v>1599</v>
      </c>
    </row>
    <row r="44" ht="12.75">
      <c r="D44" s="90" t="s">
        <v>1600</v>
      </c>
    </row>
  </sheetData>
  <sheetProtection/>
  <mergeCells count="6">
    <mergeCell ref="G40:H40"/>
    <mergeCell ref="G41:H41"/>
    <mergeCell ref="C29:K29"/>
    <mergeCell ref="G37:H37"/>
    <mergeCell ref="G38:H38"/>
    <mergeCell ref="G39:H39"/>
  </mergeCells>
  <printOptions/>
  <pageMargins left="0.4724409448818898" right="0.3937007874015748" top="0.984251968503937" bottom="0.984251968503937" header="0.5118110236220472" footer="0.5118110236220472"/>
  <pageSetup horizontalDpi="600" verticalDpi="600" orientation="portrait" scale="95" r:id="rId1"/>
</worksheet>
</file>

<file path=xl/worksheets/sheet60.xml><?xml version="1.0" encoding="utf-8"?>
<worksheet xmlns="http://schemas.openxmlformats.org/spreadsheetml/2006/main" xmlns:r="http://schemas.openxmlformats.org/officeDocument/2006/relationships">
  <dimension ref="A1:F14"/>
  <sheetViews>
    <sheetView zoomScalePageLayoutView="0" workbookViewId="0" topLeftCell="A4">
      <selection activeCell="A1" sqref="A1:D1"/>
    </sheetView>
  </sheetViews>
  <sheetFormatPr defaultColWidth="9.33203125" defaultRowHeight="12.75"/>
  <cols>
    <col min="1" max="1" width="67.16015625" style="0" customWidth="1"/>
    <col min="2" max="2" width="31.33203125" style="0" customWidth="1"/>
    <col min="3" max="3" width="36.5" style="0" customWidth="1"/>
    <col min="4" max="4" width="3.83203125" style="0" customWidth="1"/>
    <col min="5" max="5" width="7.16015625" style="0" customWidth="1"/>
    <col min="6" max="6" width="30.5" style="0" customWidth="1"/>
  </cols>
  <sheetData>
    <row r="1" spans="1:6" ht="57" customHeight="1">
      <c r="A1" s="1233" t="s">
        <v>314</v>
      </c>
      <c r="B1" s="1233"/>
      <c r="C1" s="1233"/>
      <c r="D1" s="1233"/>
      <c r="E1" s="1234" t="s">
        <v>315</v>
      </c>
      <c r="F1" s="1234"/>
    </row>
    <row r="2" spans="1:6" ht="408.75" customHeight="1">
      <c r="A2" s="1235" t="s">
        <v>174</v>
      </c>
      <c r="B2" s="1235"/>
      <c r="C2" s="1235"/>
      <c r="D2" s="1235"/>
      <c r="E2" s="1235"/>
      <c r="F2" s="31" t="s">
        <v>137</v>
      </c>
    </row>
    <row r="3" spans="1:3" ht="17.25" customHeight="1">
      <c r="A3" s="5" t="s">
        <v>316</v>
      </c>
      <c r="B3" s="3" t="s">
        <v>317</v>
      </c>
      <c r="C3" s="4"/>
    </row>
    <row r="4" spans="1:3" ht="34.5" customHeight="1">
      <c r="A4" s="5" t="s">
        <v>318</v>
      </c>
      <c r="B4" s="3" t="s">
        <v>319</v>
      </c>
      <c r="C4" s="6"/>
    </row>
    <row r="5" spans="1:3" ht="31.5" customHeight="1">
      <c r="A5" s="1224" t="s">
        <v>320</v>
      </c>
      <c r="B5" s="1236"/>
      <c r="C5" s="1225"/>
    </row>
    <row r="6" spans="1:3" ht="17.25" customHeight="1">
      <c r="A6" s="3" t="s">
        <v>321</v>
      </c>
      <c r="B6" s="1237" t="s">
        <v>322</v>
      </c>
      <c r="C6" s="4"/>
    </row>
    <row r="7" spans="1:3" ht="34.5" customHeight="1">
      <c r="A7" s="5" t="s">
        <v>323</v>
      </c>
      <c r="B7" s="1238"/>
      <c r="C7" s="6"/>
    </row>
    <row r="8" spans="1:3" ht="60" customHeight="1">
      <c r="A8" s="5" t="s">
        <v>324</v>
      </c>
      <c r="B8" s="1238"/>
      <c r="C8" s="5"/>
    </row>
    <row r="9" spans="1:3" ht="17.25" customHeight="1">
      <c r="A9" s="3" t="s">
        <v>325</v>
      </c>
      <c r="B9" s="1238"/>
      <c r="C9" s="4"/>
    </row>
    <row r="10" spans="1:3" ht="17.25" customHeight="1">
      <c r="A10" s="3" t="s">
        <v>326</v>
      </c>
      <c r="B10" s="1238"/>
      <c r="C10" s="4"/>
    </row>
    <row r="11" spans="1:3" ht="17.25" customHeight="1">
      <c r="A11" s="3" t="s">
        <v>327</v>
      </c>
      <c r="B11" s="1238"/>
      <c r="C11" s="4"/>
    </row>
    <row r="12" spans="1:3" ht="17.25" customHeight="1">
      <c r="A12" s="3" t="s">
        <v>328</v>
      </c>
      <c r="B12" s="1238"/>
      <c r="C12" s="4"/>
    </row>
    <row r="13" spans="1:3" ht="17.25" customHeight="1">
      <c r="A13" s="3" t="s">
        <v>329</v>
      </c>
      <c r="B13" s="1238"/>
      <c r="C13" s="4"/>
    </row>
    <row r="14" spans="1:3" ht="17.25" customHeight="1">
      <c r="A14" s="3" t="s">
        <v>330</v>
      </c>
      <c r="B14" s="1239"/>
      <c r="C14" s="4"/>
    </row>
  </sheetData>
  <sheetProtection/>
  <mergeCells count="5">
    <mergeCell ref="A1:D1"/>
    <mergeCell ref="E1:F1"/>
    <mergeCell ref="A2:E2"/>
    <mergeCell ref="A5:C5"/>
    <mergeCell ref="B6:B14"/>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18"/>
  <sheetViews>
    <sheetView zoomScalePageLayoutView="0" workbookViewId="0" topLeftCell="A10">
      <selection activeCell="A1" sqref="A1:E1"/>
    </sheetView>
  </sheetViews>
  <sheetFormatPr defaultColWidth="9.33203125" defaultRowHeight="12.75"/>
  <cols>
    <col min="1" max="1" width="38.66015625" style="0" customWidth="1"/>
    <col min="2" max="2" width="30.16015625" style="0" customWidth="1"/>
    <col min="3" max="3" width="19.33203125" style="0" customWidth="1"/>
    <col min="4" max="4" width="26" style="0" customWidth="1"/>
    <col min="5" max="5" width="15.5" style="0" customWidth="1"/>
    <col min="6" max="6" width="3.33203125" style="0" customWidth="1"/>
    <col min="7" max="7" width="18.83203125" style="0" customWidth="1"/>
    <col min="8" max="8" width="19.83203125" style="0" customWidth="1"/>
    <col min="9" max="9" width="4.83203125" style="0" customWidth="1"/>
  </cols>
  <sheetData>
    <row r="1" spans="1:9" ht="43.5" customHeight="1">
      <c r="A1" s="1397" t="s">
        <v>331</v>
      </c>
      <c r="B1" s="1397"/>
      <c r="C1" s="1397"/>
      <c r="D1" s="1397"/>
      <c r="E1" s="1397"/>
      <c r="F1" s="1398" t="s">
        <v>332</v>
      </c>
      <c r="G1" s="1398"/>
      <c r="H1" s="1398"/>
      <c r="I1" s="1398"/>
    </row>
    <row r="2" spans="1:9" ht="66" customHeight="1">
      <c r="A2" s="1198" t="s">
        <v>333</v>
      </c>
      <c r="B2" s="1198"/>
      <c r="C2" s="1198"/>
      <c r="D2" s="1198"/>
      <c r="E2" s="1198"/>
      <c r="F2" s="1198"/>
      <c r="G2" s="1198"/>
      <c r="H2" s="1198"/>
      <c r="I2" s="1198"/>
    </row>
    <row r="3" spans="1:8" ht="17.25" customHeight="1">
      <c r="A3" s="1399"/>
      <c r="B3" s="1401" t="s">
        <v>334</v>
      </c>
      <c r="C3" s="1402"/>
      <c r="D3" s="1401" t="s">
        <v>335</v>
      </c>
      <c r="E3" s="1403"/>
      <c r="F3" s="1402"/>
      <c r="G3" s="1083" t="s">
        <v>336</v>
      </c>
      <c r="H3" s="1085"/>
    </row>
    <row r="4" spans="1:8" ht="18" customHeight="1">
      <c r="A4" s="1400"/>
      <c r="B4" s="1404" t="s">
        <v>337</v>
      </c>
      <c r="C4" s="1405"/>
      <c r="D4" s="1406" t="s">
        <v>337</v>
      </c>
      <c r="E4" s="1407"/>
      <c r="F4" s="1408"/>
      <c r="G4" s="1409" t="s">
        <v>337</v>
      </c>
      <c r="H4" s="1410"/>
    </row>
    <row r="5" spans="1:8" ht="17.25" customHeight="1">
      <c r="A5" s="11">
        <v>1</v>
      </c>
      <c r="B5" s="11">
        <v>2</v>
      </c>
      <c r="C5" s="11">
        <v>3</v>
      </c>
      <c r="D5" s="11">
        <v>4</v>
      </c>
      <c r="E5" s="1216">
        <v>5</v>
      </c>
      <c r="F5" s="1217"/>
      <c r="G5" s="11">
        <v>6</v>
      </c>
      <c r="H5" s="11">
        <v>7</v>
      </c>
    </row>
    <row r="6" spans="1:8" ht="16.5" customHeight="1">
      <c r="A6" s="4"/>
      <c r="B6" s="4"/>
      <c r="C6" s="4"/>
      <c r="D6" s="4"/>
      <c r="E6" s="1089"/>
      <c r="F6" s="1091"/>
      <c r="G6" s="4"/>
      <c r="H6" s="4"/>
    </row>
    <row r="7" spans="1:8" ht="17.25" customHeight="1">
      <c r="A7" s="3" t="s">
        <v>338</v>
      </c>
      <c r="B7" s="3" t="s">
        <v>339</v>
      </c>
      <c r="C7" s="3" t="s">
        <v>340</v>
      </c>
      <c r="D7" s="4"/>
      <c r="E7" s="1089"/>
      <c r="F7" s="1091"/>
      <c r="G7" s="4"/>
      <c r="H7" s="4"/>
    </row>
    <row r="8" spans="1:8" ht="17.25" customHeight="1">
      <c r="A8" s="3" t="s">
        <v>341</v>
      </c>
      <c r="B8" s="4"/>
      <c r="C8" s="4"/>
      <c r="D8" s="4"/>
      <c r="E8" s="1089"/>
      <c r="F8" s="1091"/>
      <c r="G8" s="4"/>
      <c r="H8" s="4"/>
    </row>
    <row r="9" spans="1:8" ht="17.25" customHeight="1">
      <c r="A9" s="3" t="s">
        <v>342</v>
      </c>
      <c r="B9" s="4"/>
      <c r="C9" s="4"/>
      <c r="D9" s="4"/>
      <c r="E9" s="1089"/>
      <c r="F9" s="1091"/>
      <c r="G9" s="4"/>
      <c r="H9" s="4"/>
    </row>
    <row r="10" spans="1:8" ht="15.75" customHeight="1">
      <c r="A10" s="4"/>
      <c r="B10" s="4"/>
      <c r="C10" s="4"/>
      <c r="D10" s="4"/>
      <c r="E10" s="1089"/>
      <c r="F10" s="1091"/>
      <c r="G10" s="4"/>
      <c r="H10" s="4"/>
    </row>
    <row r="11" spans="1:8" ht="17.25" customHeight="1">
      <c r="A11" s="3" t="s">
        <v>343</v>
      </c>
      <c r="B11" s="4"/>
      <c r="C11" s="4"/>
      <c r="D11" s="4"/>
      <c r="E11" s="1089"/>
      <c r="F11" s="1091"/>
      <c r="G11" s="4"/>
      <c r="H11" s="4"/>
    </row>
    <row r="12" spans="1:8" ht="15.75" customHeight="1">
      <c r="A12" s="4"/>
      <c r="B12" s="4"/>
      <c r="C12" s="4"/>
      <c r="D12" s="4"/>
      <c r="E12" s="1089"/>
      <c r="F12" s="1091"/>
      <c r="G12" s="4"/>
      <c r="H12" s="4"/>
    </row>
    <row r="13" spans="1:8" ht="17.25" customHeight="1">
      <c r="A13" s="3" t="s">
        <v>344</v>
      </c>
      <c r="B13" s="4"/>
      <c r="C13" s="4"/>
      <c r="D13" s="4"/>
      <c r="E13" s="1089"/>
      <c r="F13" s="1091"/>
      <c r="G13" s="4"/>
      <c r="H13" s="4"/>
    </row>
    <row r="14" spans="1:8" ht="17.25" customHeight="1">
      <c r="A14" s="3" t="s">
        <v>345</v>
      </c>
      <c r="B14" s="4"/>
      <c r="C14" s="4"/>
      <c r="D14" s="4"/>
      <c r="E14" s="1089"/>
      <c r="F14" s="1091"/>
      <c r="G14" s="4"/>
      <c r="H14" s="4"/>
    </row>
    <row r="15" spans="1:8" ht="17.25" customHeight="1">
      <c r="A15" s="3" t="s">
        <v>346</v>
      </c>
      <c r="B15" s="4"/>
      <c r="C15" s="4"/>
      <c r="D15" s="4"/>
      <c r="E15" s="1089"/>
      <c r="F15" s="1091"/>
      <c r="G15" s="4"/>
      <c r="H15" s="4"/>
    </row>
    <row r="16" spans="1:8" ht="17.25" customHeight="1">
      <c r="A16" s="3" t="s">
        <v>347</v>
      </c>
      <c r="B16" s="4"/>
      <c r="C16" s="4"/>
      <c r="D16" s="4"/>
      <c r="E16" s="1089"/>
      <c r="F16" s="1091"/>
      <c r="G16" s="4"/>
      <c r="H16" s="4"/>
    </row>
    <row r="17" spans="1:8" ht="17.25" customHeight="1">
      <c r="A17" s="3" t="s">
        <v>348</v>
      </c>
      <c r="B17" s="4"/>
      <c r="C17" s="4"/>
      <c r="D17" s="4"/>
      <c r="E17" s="1089"/>
      <c r="F17" s="1091"/>
      <c r="G17" s="4"/>
      <c r="H17" s="4"/>
    </row>
    <row r="18" spans="1:9" ht="69" customHeight="1">
      <c r="A18" s="1198" t="s">
        <v>349</v>
      </c>
      <c r="B18" s="1198"/>
      <c r="C18" s="1198"/>
      <c r="D18" s="1198"/>
      <c r="E18" s="1198"/>
      <c r="F18" s="1198"/>
      <c r="G18" s="1198"/>
      <c r="H18" s="1198"/>
      <c r="I18" s="1198"/>
    </row>
  </sheetData>
  <sheetProtection/>
  <mergeCells count="24">
    <mergeCell ref="B4:C4"/>
    <mergeCell ref="D4:F4"/>
    <mergeCell ref="G4:H4"/>
    <mergeCell ref="E5:F5"/>
    <mergeCell ref="E6:F6"/>
    <mergeCell ref="E7:F7"/>
    <mergeCell ref="E8:F8"/>
    <mergeCell ref="E9:F9"/>
    <mergeCell ref="A1:E1"/>
    <mergeCell ref="F1:I1"/>
    <mergeCell ref="A2:I2"/>
    <mergeCell ref="A3:A4"/>
    <mergeCell ref="B3:C3"/>
    <mergeCell ref="D3:F3"/>
    <mergeCell ref="G3:H3"/>
    <mergeCell ref="E16:F16"/>
    <mergeCell ref="E17:F17"/>
    <mergeCell ref="A18:I18"/>
    <mergeCell ref="E10:F10"/>
    <mergeCell ref="E11:F11"/>
    <mergeCell ref="E12:F12"/>
    <mergeCell ref="E13:F13"/>
    <mergeCell ref="E14:F14"/>
    <mergeCell ref="E15:F15"/>
  </mergeCells>
  <printOptions/>
  <pageMargins left="0.7" right="0.7" top="0.75" bottom="0.75" header="0.3" footer="0.3"/>
  <pageSetup orientation="portrait" paperSize="9"/>
  <drawing r:id="rId1"/>
</worksheet>
</file>

<file path=xl/worksheets/sheet62.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G1"/>
    </sheetView>
  </sheetViews>
  <sheetFormatPr defaultColWidth="9.33203125" defaultRowHeight="12.75"/>
  <cols>
    <col min="1" max="1" width="39.5" style="0" customWidth="1"/>
    <col min="2" max="2" width="15.83203125" style="0" customWidth="1"/>
    <col min="3" max="3" width="5.83203125" style="0" customWidth="1"/>
    <col min="4" max="4" width="21.5" style="0" customWidth="1"/>
    <col min="5" max="5" width="21.83203125" style="0" customWidth="1"/>
    <col min="6" max="6" width="21.5" style="0" customWidth="1"/>
    <col min="7" max="7" width="3.83203125" style="0" customWidth="1"/>
    <col min="8" max="8" width="17.5" style="0" customWidth="1"/>
    <col min="9" max="9" width="22.16015625" style="0" customWidth="1"/>
    <col min="10" max="10" width="6.16015625" style="0" customWidth="1"/>
  </cols>
  <sheetData>
    <row r="1" spans="1:10" ht="73.5" customHeight="1">
      <c r="A1" s="1412" t="s">
        <v>350</v>
      </c>
      <c r="B1" s="1412"/>
      <c r="C1" s="1204" t="s">
        <v>351</v>
      </c>
      <c r="D1" s="1204"/>
      <c r="E1" s="1204"/>
      <c r="F1" s="1204"/>
      <c r="G1" s="1204"/>
      <c r="H1" s="1398" t="s">
        <v>352</v>
      </c>
      <c r="I1" s="1398"/>
      <c r="J1" s="1398"/>
    </row>
    <row r="2" spans="1:9" ht="17.25" customHeight="1">
      <c r="A2" s="35" t="s">
        <v>109</v>
      </c>
      <c r="B2" s="1401" t="s">
        <v>353</v>
      </c>
      <c r="C2" s="1402"/>
      <c r="D2" s="7" t="s">
        <v>354</v>
      </c>
      <c r="E2" s="7" t="s">
        <v>355</v>
      </c>
      <c r="F2" s="7" t="s">
        <v>356</v>
      </c>
      <c r="G2" s="1401" t="s">
        <v>357</v>
      </c>
      <c r="H2" s="1402"/>
      <c r="I2" s="32" t="s">
        <v>358</v>
      </c>
    </row>
    <row r="3" spans="1:9" ht="17.25" customHeight="1">
      <c r="A3" s="11">
        <v>1</v>
      </c>
      <c r="B3" s="1216">
        <v>2</v>
      </c>
      <c r="C3" s="1217"/>
      <c r="D3" s="11">
        <v>3</v>
      </c>
      <c r="E3" s="11">
        <v>4</v>
      </c>
      <c r="F3" s="11">
        <v>5</v>
      </c>
      <c r="G3" s="1216">
        <v>6</v>
      </c>
      <c r="H3" s="1217"/>
      <c r="I3" s="11">
        <v>7</v>
      </c>
    </row>
    <row r="4" spans="1:9" ht="17.25" customHeight="1">
      <c r="A4" s="5" t="s">
        <v>359</v>
      </c>
      <c r="B4" s="1089"/>
      <c r="C4" s="1091"/>
      <c r="D4" s="4"/>
      <c r="E4" s="4"/>
      <c r="F4" s="4"/>
      <c r="G4" s="1089"/>
      <c r="H4" s="1091"/>
      <c r="I4" s="4"/>
    </row>
    <row r="5" spans="1:9" ht="17.25" customHeight="1">
      <c r="A5" s="5" t="s">
        <v>360</v>
      </c>
      <c r="B5" s="1089"/>
      <c r="C5" s="1091"/>
      <c r="D5" s="4"/>
      <c r="E5" s="4"/>
      <c r="F5" s="4"/>
      <c r="G5" s="1089"/>
      <c r="H5" s="1091"/>
      <c r="I5" s="4"/>
    </row>
    <row r="6" spans="1:9" ht="17.25" customHeight="1">
      <c r="A6" s="3" t="s">
        <v>361</v>
      </c>
      <c r="B6" s="1089"/>
      <c r="C6" s="1091"/>
      <c r="D6" s="4"/>
      <c r="E6" s="4"/>
      <c r="F6" s="4"/>
      <c r="G6" s="1089"/>
      <c r="H6" s="1091"/>
      <c r="I6" s="4"/>
    </row>
    <row r="7" spans="1:9" ht="34.5" customHeight="1">
      <c r="A7" s="5" t="s">
        <v>362</v>
      </c>
      <c r="B7" s="1209"/>
      <c r="C7" s="1097"/>
      <c r="D7" s="6"/>
      <c r="E7" s="6"/>
      <c r="F7" s="6"/>
      <c r="G7" s="1209"/>
      <c r="H7" s="1097"/>
      <c r="I7" s="6"/>
    </row>
    <row r="8" spans="1:9" ht="17.25" customHeight="1">
      <c r="A8" s="5" t="s">
        <v>363</v>
      </c>
      <c r="B8" s="1089"/>
      <c r="C8" s="1091"/>
      <c r="D8" s="4"/>
      <c r="E8" s="4"/>
      <c r="F8" s="4"/>
      <c r="G8" s="1089"/>
      <c r="H8" s="1091"/>
      <c r="I8" s="4"/>
    </row>
    <row r="9" spans="1:9" ht="34.5" customHeight="1">
      <c r="A9" s="5" t="s">
        <v>364</v>
      </c>
      <c r="B9" s="1209"/>
      <c r="C9" s="1097"/>
      <c r="D9" s="6"/>
      <c r="E9" s="6"/>
      <c r="F9" s="6"/>
      <c r="G9" s="1209"/>
      <c r="H9" s="1097"/>
      <c r="I9" s="6"/>
    </row>
    <row r="10" spans="1:9" ht="17.25" customHeight="1">
      <c r="A10" s="5" t="s">
        <v>365</v>
      </c>
      <c r="B10" s="1089"/>
      <c r="C10" s="1091"/>
      <c r="D10" s="4"/>
      <c r="E10" s="4"/>
      <c r="F10" s="4"/>
      <c r="G10" s="1089"/>
      <c r="H10" s="1091"/>
      <c r="I10" s="4"/>
    </row>
    <row r="11" spans="1:9" ht="17.25" customHeight="1">
      <c r="A11" s="5" t="s">
        <v>366</v>
      </c>
      <c r="B11" s="1089"/>
      <c r="C11" s="1091"/>
      <c r="D11" s="4"/>
      <c r="E11" s="4"/>
      <c r="F11" s="4"/>
      <c r="G11" s="1089"/>
      <c r="H11" s="1091"/>
      <c r="I11" s="4"/>
    </row>
    <row r="12" spans="1:9" ht="17.25" customHeight="1">
      <c r="A12" s="5" t="s">
        <v>367</v>
      </c>
      <c r="B12" s="1224" t="s">
        <v>368</v>
      </c>
      <c r="C12" s="1225"/>
      <c r="D12" s="3" t="s">
        <v>368</v>
      </c>
      <c r="E12" s="3" t="s">
        <v>368</v>
      </c>
      <c r="F12" s="3" t="s">
        <v>368</v>
      </c>
      <c r="G12" s="1224" t="s">
        <v>368</v>
      </c>
      <c r="H12" s="1225"/>
      <c r="I12" s="3" t="s">
        <v>368</v>
      </c>
    </row>
    <row r="13" spans="1:9" ht="34.5" customHeight="1">
      <c r="A13" s="5" t="s">
        <v>369</v>
      </c>
      <c r="B13" s="1209"/>
      <c r="C13" s="1097"/>
      <c r="D13" s="6"/>
      <c r="E13" s="6"/>
      <c r="F13" s="6"/>
      <c r="G13" s="1209"/>
      <c r="H13" s="1097"/>
      <c r="I13" s="6"/>
    </row>
    <row r="14" spans="1:9" ht="17.25" customHeight="1">
      <c r="A14" s="5" t="s">
        <v>370</v>
      </c>
      <c r="B14" s="1089"/>
      <c r="C14" s="1091"/>
      <c r="D14" s="4"/>
      <c r="E14" s="4"/>
      <c r="F14" s="4"/>
      <c r="G14" s="1089"/>
      <c r="H14" s="1091"/>
      <c r="I14" s="4"/>
    </row>
    <row r="15" spans="1:9" ht="17.25" customHeight="1">
      <c r="A15" s="3" t="s">
        <v>371</v>
      </c>
      <c r="B15" s="1089"/>
      <c r="C15" s="1091"/>
      <c r="D15" s="4"/>
      <c r="E15" s="4"/>
      <c r="F15" s="4"/>
      <c r="G15" s="1089"/>
      <c r="H15" s="1091"/>
      <c r="I15" s="4"/>
    </row>
    <row r="16" spans="1:9" ht="17.25" customHeight="1">
      <c r="A16" s="5" t="s">
        <v>372</v>
      </c>
      <c r="B16" s="1089"/>
      <c r="C16" s="1091"/>
      <c r="D16" s="4"/>
      <c r="E16" s="4"/>
      <c r="F16" s="4"/>
      <c r="G16" s="1089"/>
      <c r="H16" s="1091"/>
      <c r="I16" s="4"/>
    </row>
    <row r="17" spans="1:9" ht="17.25" customHeight="1">
      <c r="A17" s="3" t="s">
        <v>373</v>
      </c>
      <c r="B17" s="1089"/>
      <c r="C17" s="1091"/>
      <c r="D17" s="4"/>
      <c r="E17" s="4"/>
      <c r="F17" s="4"/>
      <c r="G17" s="1089"/>
      <c r="H17" s="1091"/>
      <c r="I17" s="4"/>
    </row>
    <row r="18" spans="1:9" ht="17.25" customHeight="1">
      <c r="A18" s="5" t="s">
        <v>374</v>
      </c>
      <c r="B18" s="1089"/>
      <c r="C18" s="1091"/>
      <c r="D18" s="4"/>
      <c r="E18" s="4"/>
      <c r="F18" s="4"/>
      <c r="G18" s="1089"/>
      <c r="H18" s="1091"/>
      <c r="I18" s="4"/>
    </row>
    <row r="19" spans="1:9" ht="17.25" customHeight="1">
      <c r="A19" s="5" t="s">
        <v>375</v>
      </c>
      <c r="B19" s="1089"/>
      <c r="C19" s="1091"/>
      <c r="D19" s="4"/>
      <c r="E19" s="4"/>
      <c r="F19" s="4"/>
      <c r="G19" s="1089"/>
      <c r="H19" s="1091"/>
      <c r="I19" s="4"/>
    </row>
    <row r="20" spans="1:9" ht="17.25" customHeight="1">
      <c r="A20" s="5" t="s">
        <v>376</v>
      </c>
      <c r="B20" s="1089"/>
      <c r="C20" s="1091"/>
      <c r="D20" s="4"/>
      <c r="E20" s="4"/>
      <c r="F20" s="4"/>
      <c r="G20" s="1089"/>
      <c r="H20" s="1091"/>
      <c r="I20" s="4"/>
    </row>
    <row r="21" spans="1:9" ht="34.5" customHeight="1">
      <c r="A21" s="5" t="s">
        <v>377</v>
      </c>
      <c r="B21" s="1209"/>
      <c r="C21" s="1097"/>
      <c r="D21" s="6"/>
      <c r="E21" s="6"/>
      <c r="F21" s="6"/>
      <c r="G21" s="1209"/>
      <c r="H21" s="1097"/>
      <c r="I21" s="6"/>
    </row>
    <row r="22" spans="1:9" ht="17.25" customHeight="1">
      <c r="A22" s="5" t="s">
        <v>378</v>
      </c>
      <c r="B22" s="1089"/>
      <c r="C22" s="1091"/>
      <c r="D22" s="4"/>
      <c r="E22" s="4"/>
      <c r="F22" s="4"/>
      <c r="G22" s="1089"/>
      <c r="H22" s="1091"/>
      <c r="I22" s="4"/>
    </row>
    <row r="23" spans="1:10" ht="408.75" customHeight="1">
      <c r="A23" s="1198" t="s">
        <v>379</v>
      </c>
      <c r="B23" s="1198"/>
      <c r="C23" s="1198"/>
      <c r="D23" s="1198"/>
      <c r="E23" s="1198"/>
      <c r="F23" s="1198"/>
      <c r="G23" s="1198"/>
      <c r="H23" s="1198"/>
      <c r="I23" s="1198"/>
      <c r="J23" s="1198"/>
    </row>
    <row r="24" spans="1:10" ht="51" customHeight="1">
      <c r="A24" s="1198"/>
      <c r="B24" s="1198"/>
      <c r="C24" s="1198"/>
      <c r="D24" s="1198"/>
      <c r="E24" s="1198"/>
      <c r="F24" s="1198"/>
      <c r="G24" s="1198"/>
      <c r="H24" s="1198"/>
      <c r="I24" s="1198"/>
      <c r="J24" s="1198"/>
    </row>
    <row r="25" spans="1:10" ht="17.25" customHeight="1">
      <c r="A25" s="1411" t="s">
        <v>137</v>
      </c>
      <c r="B25" s="1411"/>
      <c r="C25" s="1411"/>
      <c r="D25" s="1411"/>
      <c r="E25" s="1411"/>
      <c r="F25" s="1411"/>
      <c r="G25" s="1411"/>
      <c r="H25" s="1411"/>
      <c r="I25" s="1411"/>
      <c r="J25" s="1411"/>
    </row>
  </sheetData>
  <sheetProtection/>
  <mergeCells count="47">
    <mergeCell ref="B3:C3"/>
    <mergeCell ref="G3:H3"/>
    <mergeCell ref="A1:B1"/>
    <mergeCell ref="C1:G1"/>
    <mergeCell ref="H1:J1"/>
    <mergeCell ref="B2:C2"/>
    <mergeCell ref="G2:H2"/>
    <mergeCell ref="B4:C4"/>
    <mergeCell ref="G4:H4"/>
    <mergeCell ref="B5:C5"/>
    <mergeCell ref="G5:H5"/>
    <mergeCell ref="B6:C6"/>
    <mergeCell ref="G6:H6"/>
    <mergeCell ref="B7:C7"/>
    <mergeCell ref="G7:H7"/>
    <mergeCell ref="B8:C8"/>
    <mergeCell ref="G8:H8"/>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A25:J25"/>
    <mergeCell ref="B21:C21"/>
    <mergeCell ref="G21:H21"/>
    <mergeCell ref="B22:C22"/>
    <mergeCell ref="G22:H22"/>
    <mergeCell ref="A23:J24"/>
  </mergeCells>
  <printOptions/>
  <pageMargins left="0.7" right="0.7" top="0.75" bottom="0.75" header="0.3" footer="0.3"/>
  <pageSetup orientation="portrait" paperSize="9"/>
  <drawing r:id="rId1"/>
</worksheet>
</file>

<file path=xl/worksheets/sheet63.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G1"/>
    </sheetView>
  </sheetViews>
  <sheetFormatPr defaultColWidth="9.33203125" defaultRowHeight="12.75"/>
  <cols>
    <col min="1" max="1" width="46.83203125" style="0" customWidth="1"/>
    <col min="2" max="2" width="5.5" style="0" customWidth="1"/>
    <col min="3" max="3" width="23.33203125" style="0" customWidth="1"/>
    <col min="4" max="4" width="19.16015625" style="0" customWidth="1"/>
    <col min="5" max="6" width="18.83203125" style="0" customWidth="1"/>
    <col min="7" max="7" width="10.16015625" style="0" customWidth="1"/>
    <col min="8" max="8" width="8.5" style="0" customWidth="1"/>
    <col min="9" max="9" width="19.16015625" style="0" customWidth="1"/>
    <col min="10" max="10" width="6.5" style="0" customWidth="1"/>
  </cols>
  <sheetData>
    <row r="1" spans="1:10" ht="101.25" customHeight="1">
      <c r="A1" s="34" t="s">
        <v>350</v>
      </c>
      <c r="B1" s="1413" t="s">
        <v>380</v>
      </c>
      <c r="C1" s="1413"/>
      <c r="D1" s="1413"/>
      <c r="E1" s="1413"/>
      <c r="F1" s="1413"/>
      <c r="G1" s="1413"/>
      <c r="H1" s="1414" t="s">
        <v>381</v>
      </c>
      <c r="I1" s="1414"/>
      <c r="J1" s="1414"/>
    </row>
    <row r="2" spans="1:9" ht="17.25" customHeight="1">
      <c r="A2" s="1080" t="s">
        <v>109</v>
      </c>
      <c r="B2" s="1082"/>
      <c r="C2" s="32" t="s">
        <v>353</v>
      </c>
      <c r="D2" s="7" t="s">
        <v>354</v>
      </c>
      <c r="E2" s="7" t="s">
        <v>355</v>
      </c>
      <c r="F2" s="7" t="s">
        <v>356</v>
      </c>
      <c r="G2" s="1401" t="s">
        <v>357</v>
      </c>
      <c r="H2" s="1402"/>
      <c r="I2" s="2" t="s">
        <v>382</v>
      </c>
    </row>
    <row r="3" spans="1:9" ht="17.25" customHeight="1">
      <c r="A3" s="1216">
        <v>1</v>
      </c>
      <c r="B3" s="1217"/>
      <c r="C3" s="11">
        <v>2</v>
      </c>
      <c r="D3" s="11">
        <v>3</v>
      </c>
      <c r="E3" s="11">
        <v>4</v>
      </c>
      <c r="F3" s="11">
        <v>5</v>
      </c>
      <c r="G3" s="1216">
        <v>6</v>
      </c>
      <c r="H3" s="1217"/>
      <c r="I3" s="11">
        <v>7</v>
      </c>
    </row>
    <row r="4" spans="1:9" ht="17.25" customHeight="1">
      <c r="A4" s="1229" t="s">
        <v>359</v>
      </c>
      <c r="B4" s="1230"/>
      <c r="C4" s="4"/>
      <c r="D4" s="4"/>
      <c r="E4" s="4"/>
      <c r="F4" s="4"/>
      <c r="G4" s="1089"/>
      <c r="H4" s="1091"/>
      <c r="I4" s="4"/>
    </row>
    <row r="5" spans="1:9" ht="17.25" customHeight="1">
      <c r="A5" s="1229" t="s">
        <v>360</v>
      </c>
      <c r="B5" s="1230"/>
      <c r="C5" s="4"/>
      <c r="D5" s="4"/>
      <c r="E5" s="4"/>
      <c r="F5" s="4"/>
      <c r="G5" s="1089"/>
      <c r="H5" s="1091"/>
      <c r="I5" s="4"/>
    </row>
    <row r="6" spans="1:9" ht="17.25" customHeight="1">
      <c r="A6" s="1224" t="s">
        <v>361</v>
      </c>
      <c r="B6" s="1225"/>
      <c r="C6" s="4"/>
      <c r="D6" s="4"/>
      <c r="E6" s="4"/>
      <c r="F6" s="4"/>
      <c r="G6" s="1089"/>
      <c r="H6" s="1091"/>
      <c r="I6" s="4"/>
    </row>
    <row r="7" spans="1:9" ht="34.5" customHeight="1">
      <c r="A7" s="1229" t="s">
        <v>383</v>
      </c>
      <c r="B7" s="1230"/>
      <c r="C7" s="6"/>
      <c r="D7" s="6"/>
      <c r="E7" s="6"/>
      <c r="F7" s="6"/>
      <c r="G7" s="1209"/>
      <c r="H7" s="1097"/>
      <c r="I7" s="6"/>
    </row>
    <row r="8" spans="1:9" ht="17.25" customHeight="1">
      <c r="A8" s="1229" t="s">
        <v>363</v>
      </c>
      <c r="B8" s="1230"/>
      <c r="C8" s="4"/>
      <c r="D8" s="4"/>
      <c r="E8" s="4"/>
      <c r="F8" s="4"/>
      <c r="G8" s="1089"/>
      <c r="H8" s="1091"/>
      <c r="I8" s="4"/>
    </row>
    <row r="9" spans="1:9" ht="17.25" customHeight="1">
      <c r="A9" s="1224" t="s">
        <v>384</v>
      </c>
      <c r="B9" s="1225"/>
      <c r="C9" s="4"/>
      <c r="D9" s="4"/>
      <c r="E9" s="4"/>
      <c r="F9" s="4"/>
      <c r="G9" s="1089"/>
      <c r="H9" s="1091"/>
      <c r="I9" s="4"/>
    </row>
    <row r="10" spans="1:9" ht="17.25" customHeight="1">
      <c r="A10" s="1229" t="s">
        <v>365</v>
      </c>
      <c r="B10" s="1230"/>
      <c r="C10" s="4"/>
      <c r="D10" s="4"/>
      <c r="E10" s="4"/>
      <c r="F10" s="4"/>
      <c r="G10" s="1089"/>
      <c r="H10" s="1091"/>
      <c r="I10" s="4"/>
    </row>
    <row r="11" spans="1:9" ht="17.25" customHeight="1">
      <c r="A11" s="1229" t="s">
        <v>366</v>
      </c>
      <c r="B11" s="1230"/>
      <c r="C11" s="4"/>
      <c r="D11" s="4"/>
      <c r="E11" s="4"/>
      <c r="F11" s="4"/>
      <c r="G11" s="1089"/>
      <c r="H11" s="1091"/>
      <c r="I11" s="4"/>
    </row>
    <row r="12" spans="1:9" ht="17.25" customHeight="1">
      <c r="A12" s="1229" t="s">
        <v>367</v>
      </c>
      <c r="B12" s="1230"/>
      <c r="C12" s="3" t="s">
        <v>368</v>
      </c>
      <c r="D12" s="3" t="s">
        <v>368</v>
      </c>
      <c r="E12" s="3" t="s">
        <v>368</v>
      </c>
      <c r="F12" s="3" t="s">
        <v>368</v>
      </c>
      <c r="G12" s="1224" t="s">
        <v>368</v>
      </c>
      <c r="H12" s="1225"/>
      <c r="I12" s="4"/>
    </row>
    <row r="13" spans="1:9" ht="17.25" customHeight="1">
      <c r="A13" s="1224" t="s">
        <v>385</v>
      </c>
      <c r="B13" s="1225"/>
      <c r="C13" s="4"/>
      <c r="D13" s="4"/>
      <c r="E13" s="4"/>
      <c r="F13" s="4"/>
      <c r="G13" s="1089"/>
      <c r="H13" s="1091"/>
      <c r="I13" s="4"/>
    </row>
    <row r="14" spans="1:9" ht="17.25" customHeight="1">
      <c r="A14" s="1229" t="s">
        <v>370</v>
      </c>
      <c r="B14" s="1230"/>
      <c r="C14" s="4"/>
      <c r="D14" s="4"/>
      <c r="E14" s="4"/>
      <c r="F14" s="4"/>
      <c r="G14" s="1089"/>
      <c r="H14" s="1091"/>
      <c r="I14" s="4"/>
    </row>
    <row r="15" spans="1:9" ht="17.25" customHeight="1">
      <c r="A15" s="1224" t="s">
        <v>371</v>
      </c>
      <c r="B15" s="1225"/>
      <c r="C15" s="4"/>
      <c r="D15" s="4"/>
      <c r="E15" s="4"/>
      <c r="F15" s="4"/>
      <c r="G15" s="1089"/>
      <c r="H15" s="1091"/>
      <c r="I15" s="4"/>
    </row>
    <row r="16" spans="1:9" ht="17.25" customHeight="1">
      <c r="A16" s="1229" t="s">
        <v>372</v>
      </c>
      <c r="B16" s="1230"/>
      <c r="C16" s="4"/>
      <c r="D16" s="4"/>
      <c r="E16" s="4"/>
      <c r="F16" s="4"/>
      <c r="G16" s="1089"/>
      <c r="H16" s="1091"/>
      <c r="I16" s="4"/>
    </row>
    <row r="17" spans="1:9" ht="17.25" customHeight="1">
      <c r="A17" s="1224" t="s">
        <v>373</v>
      </c>
      <c r="B17" s="1225"/>
      <c r="C17" s="4"/>
      <c r="D17" s="4"/>
      <c r="E17" s="4"/>
      <c r="F17" s="4"/>
      <c r="G17" s="1089"/>
      <c r="H17" s="1091"/>
      <c r="I17" s="4"/>
    </row>
    <row r="18" spans="1:9" ht="17.25" customHeight="1">
      <c r="A18" s="1229" t="s">
        <v>374</v>
      </c>
      <c r="B18" s="1230"/>
      <c r="C18" s="4"/>
      <c r="D18" s="4"/>
      <c r="E18" s="4"/>
      <c r="F18" s="4"/>
      <c r="G18" s="1089"/>
      <c r="H18" s="1091"/>
      <c r="I18" s="4"/>
    </row>
    <row r="19" spans="1:9" ht="17.25" customHeight="1">
      <c r="A19" s="1229" t="s">
        <v>375</v>
      </c>
      <c r="B19" s="1230"/>
      <c r="C19" s="4"/>
      <c r="D19" s="4"/>
      <c r="E19" s="4"/>
      <c r="F19" s="4"/>
      <c r="G19" s="1089"/>
      <c r="H19" s="1091"/>
      <c r="I19" s="4"/>
    </row>
    <row r="20" spans="1:9" ht="17.25" customHeight="1">
      <c r="A20" s="1229" t="s">
        <v>376</v>
      </c>
      <c r="B20" s="1230"/>
      <c r="C20" s="4"/>
      <c r="D20" s="4"/>
      <c r="E20" s="4"/>
      <c r="F20" s="4"/>
      <c r="G20" s="1089"/>
      <c r="H20" s="1091"/>
      <c r="I20" s="4"/>
    </row>
    <row r="21" spans="1:9" ht="17.25" customHeight="1">
      <c r="A21" s="1224" t="s">
        <v>386</v>
      </c>
      <c r="B21" s="1225"/>
      <c r="C21" s="4"/>
      <c r="D21" s="4"/>
      <c r="E21" s="4"/>
      <c r="F21" s="4"/>
      <c r="G21" s="1089"/>
      <c r="H21" s="1091"/>
      <c r="I21" s="4"/>
    </row>
    <row r="22" spans="1:9" ht="17.25" customHeight="1">
      <c r="A22" s="1229" t="s">
        <v>378</v>
      </c>
      <c r="B22" s="1230"/>
      <c r="C22" s="4"/>
      <c r="D22" s="4"/>
      <c r="E22" s="4"/>
      <c r="F22" s="4"/>
      <c r="G22" s="1089"/>
      <c r="H22" s="1091"/>
      <c r="I22" s="4"/>
    </row>
    <row r="23" spans="1:9" ht="15.75" customHeight="1">
      <c r="A23" s="1089"/>
      <c r="B23" s="1091"/>
      <c r="C23" s="4"/>
      <c r="D23" s="4"/>
      <c r="E23" s="4"/>
      <c r="F23" s="4"/>
      <c r="G23" s="1089"/>
      <c r="H23" s="1091"/>
      <c r="I23" s="4"/>
    </row>
    <row r="24" spans="1:9" ht="17.25" customHeight="1">
      <c r="A24" s="1089"/>
      <c r="B24" s="1091"/>
      <c r="C24" s="1224" t="s">
        <v>387</v>
      </c>
      <c r="D24" s="1236"/>
      <c r="E24" s="1236"/>
      <c r="F24" s="1225"/>
      <c r="G24" s="1089"/>
      <c r="H24" s="1091"/>
      <c r="I24" s="4"/>
    </row>
    <row r="25" spans="1:9" ht="17.25" customHeight="1">
      <c r="A25" s="1224" t="s">
        <v>388</v>
      </c>
      <c r="B25" s="1225"/>
      <c r="C25" s="4"/>
      <c r="D25" s="4"/>
      <c r="E25" s="4"/>
      <c r="F25" s="4"/>
      <c r="G25" s="1089"/>
      <c r="H25" s="1091"/>
      <c r="I25" s="13" t="s">
        <v>389</v>
      </c>
    </row>
    <row r="26" spans="1:9" ht="15.75" customHeight="1">
      <c r="A26" s="1089"/>
      <c r="B26" s="1091"/>
      <c r="C26" s="4"/>
      <c r="D26" s="4"/>
      <c r="E26" s="4"/>
      <c r="F26" s="4"/>
      <c r="G26" s="1089"/>
      <c r="H26" s="1091"/>
      <c r="I26" s="4"/>
    </row>
  </sheetData>
  <sheetProtection/>
  <mergeCells count="53">
    <mergeCell ref="B1:G1"/>
    <mergeCell ref="H1:J1"/>
    <mergeCell ref="A2:B2"/>
    <mergeCell ref="G2:H2"/>
    <mergeCell ref="A3:B3"/>
    <mergeCell ref="G3:H3"/>
    <mergeCell ref="A4:B4"/>
    <mergeCell ref="G4:H4"/>
    <mergeCell ref="A5:B5"/>
    <mergeCell ref="G5:H5"/>
    <mergeCell ref="A6:B6"/>
    <mergeCell ref="G6:H6"/>
    <mergeCell ref="A7:B7"/>
    <mergeCell ref="G7:H7"/>
    <mergeCell ref="A8:B8"/>
    <mergeCell ref="G8:H8"/>
    <mergeCell ref="A9:B9"/>
    <mergeCell ref="G9:H9"/>
    <mergeCell ref="A10:B10"/>
    <mergeCell ref="G10:H10"/>
    <mergeCell ref="A11:B11"/>
    <mergeCell ref="G11:H11"/>
    <mergeCell ref="A12:B12"/>
    <mergeCell ref="G12:H12"/>
    <mergeCell ref="A19:B19"/>
    <mergeCell ref="G19:H19"/>
    <mergeCell ref="A20:B20"/>
    <mergeCell ref="A13:B13"/>
    <mergeCell ref="G13:H13"/>
    <mergeCell ref="A14:B14"/>
    <mergeCell ref="G14:H14"/>
    <mergeCell ref="A15:B15"/>
    <mergeCell ref="G15:H15"/>
    <mergeCell ref="G25:H25"/>
    <mergeCell ref="G16:H16"/>
    <mergeCell ref="A17:B17"/>
    <mergeCell ref="G17:H17"/>
    <mergeCell ref="A18:B18"/>
    <mergeCell ref="G18:H18"/>
    <mergeCell ref="A16:B16"/>
    <mergeCell ref="G20:H20"/>
    <mergeCell ref="A21:B21"/>
    <mergeCell ref="G21:H21"/>
    <mergeCell ref="A26:B26"/>
    <mergeCell ref="G26:H26"/>
    <mergeCell ref="A22:B22"/>
    <mergeCell ref="G22:H22"/>
    <mergeCell ref="A23:B23"/>
    <mergeCell ref="G24:H24"/>
    <mergeCell ref="G23:H23"/>
    <mergeCell ref="A24:B24"/>
    <mergeCell ref="C24:F24"/>
    <mergeCell ref="A25:B25"/>
  </mergeCells>
  <printOptions/>
  <pageMargins left="0.7" right="0.7" top="0.75" bottom="0.75" header="0.3" footer="0.3"/>
  <pageSetup orientation="portrait" paperSize="9"/>
  <drawing r:id="rId1"/>
</worksheet>
</file>

<file path=xl/worksheets/sheet64.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D1"/>
    </sheetView>
  </sheetViews>
  <sheetFormatPr defaultColWidth="9.33203125" defaultRowHeight="12.75"/>
  <cols>
    <col min="1" max="1" width="52.5" style="0" customWidth="1"/>
    <col min="2" max="2" width="23.33203125" style="0" customWidth="1"/>
    <col min="3" max="3" width="19.16015625" style="0" customWidth="1"/>
    <col min="4" max="6" width="18.83203125" style="0" customWidth="1"/>
    <col min="7" max="7" width="19.16015625" style="0" customWidth="1"/>
    <col min="8" max="8" width="6.5" style="0" customWidth="1"/>
  </cols>
  <sheetData>
    <row r="1" spans="1:7" ht="17.25" customHeight="1">
      <c r="A1" s="2" t="s">
        <v>109</v>
      </c>
      <c r="B1" s="2" t="s">
        <v>353</v>
      </c>
      <c r="C1" s="2" t="s">
        <v>354</v>
      </c>
      <c r="D1" s="2" t="s">
        <v>355</v>
      </c>
      <c r="E1" s="2" t="s">
        <v>356</v>
      </c>
      <c r="F1" s="2" t="s">
        <v>357</v>
      </c>
      <c r="G1" s="2" t="s">
        <v>382</v>
      </c>
    </row>
    <row r="2" spans="1:7" ht="17.25" customHeight="1">
      <c r="A2" s="11">
        <v>1</v>
      </c>
      <c r="B2" s="11">
        <v>2</v>
      </c>
      <c r="C2" s="11">
        <v>3</v>
      </c>
      <c r="D2" s="11">
        <v>4</v>
      </c>
      <c r="E2" s="11">
        <v>5</v>
      </c>
      <c r="F2" s="11">
        <v>6</v>
      </c>
      <c r="G2" s="11">
        <v>7</v>
      </c>
    </row>
    <row r="3" spans="1:7" ht="17.25" customHeight="1">
      <c r="A3" s="3" t="s">
        <v>390</v>
      </c>
      <c r="B3" s="4"/>
      <c r="C3" s="4"/>
      <c r="D3" s="4"/>
      <c r="E3" s="4"/>
      <c r="F3" s="4"/>
      <c r="G3" s="4"/>
    </row>
    <row r="4" spans="1:7" ht="17.25" customHeight="1">
      <c r="A4" s="3" t="s">
        <v>391</v>
      </c>
      <c r="B4" s="4"/>
      <c r="C4" s="4"/>
      <c r="D4" s="4"/>
      <c r="E4" s="4"/>
      <c r="F4" s="4"/>
      <c r="G4" s="4"/>
    </row>
    <row r="5" spans="1:7" ht="17.25" customHeight="1">
      <c r="A5" s="3" t="s">
        <v>392</v>
      </c>
      <c r="B5" s="4"/>
      <c r="C5" s="4"/>
      <c r="D5" s="4"/>
      <c r="E5" s="4"/>
      <c r="F5" s="4"/>
      <c r="G5" s="4"/>
    </row>
    <row r="6" spans="1:8" ht="389.25" customHeight="1">
      <c r="A6" s="1198" t="s">
        <v>393</v>
      </c>
      <c r="B6" s="1198"/>
      <c r="C6" s="1198"/>
      <c r="D6" s="1198"/>
      <c r="E6" s="1198"/>
      <c r="F6" s="1198"/>
      <c r="G6" s="1198"/>
      <c r="H6" s="1198"/>
    </row>
    <row r="7" spans="1:8" ht="15.75" customHeight="1">
      <c r="A7" s="1415" t="s">
        <v>394</v>
      </c>
      <c r="B7" s="1415"/>
      <c r="C7" s="1415"/>
      <c r="D7" s="1415"/>
      <c r="E7" s="1415"/>
      <c r="F7" s="1415"/>
      <c r="G7" s="1415"/>
      <c r="H7" s="1415"/>
    </row>
  </sheetData>
  <sheetProtection/>
  <mergeCells count="2">
    <mergeCell ref="A6:H6"/>
    <mergeCell ref="A7:H7"/>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I1"/>
    </sheetView>
  </sheetViews>
  <sheetFormatPr defaultColWidth="9.33203125" defaultRowHeight="12.75"/>
  <cols>
    <col min="1" max="1" width="10.5" style="0" customWidth="1"/>
    <col min="2" max="2" width="15.83203125" style="0" customWidth="1"/>
    <col min="3" max="3" width="10.5" style="0" customWidth="1"/>
    <col min="4" max="4" width="31.33203125" style="0" customWidth="1"/>
    <col min="5" max="5" width="14.66015625" style="0" customWidth="1"/>
    <col min="6" max="6" width="18" style="0" customWidth="1"/>
    <col min="7" max="7" width="19.33203125" style="0" customWidth="1"/>
    <col min="8" max="8" width="16.83203125" style="0" customWidth="1"/>
    <col min="9" max="9" width="2.16015625" style="0" customWidth="1"/>
    <col min="10" max="10" width="14.16015625" style="0" customWidth="1"/>
    <col min="11" max="11" width="22.83203125" style="0" customWidth="1"/>
  </cols>
  <sheetData>
    <row r="1" spans="1:11" ht="43.5" customHeight="1">
      <c r="A1" s="1428" t="s">
        <v>395</v>
      </c>
      <c r="B1" s="1428"/>
      <c r="C1" s="1428"/>
      <c r="D1" s="1428"/>
      <c r="E1" s="1428"/>
      <c r="F1" s="1428"/>
      <c r="G1" s="1428"/>
      <c r="H1" s="1428"/>
      <c r="I1" s="1428"/>
      <c r="J1" s="1234" t="s">
        <v>396</v>
      </c>
      <c r="K1" s="1234"/>
    </row>
    <row r="2" spans="1:11" ht="63.75" customHeight="1">
      <c r="A2" s="1198" t="s">
        <v>397</v>
      </c>
      <c r="B2" s="1198"/>
      <c r="C2" s="1198"/>
      <c r="D2" s="1198"/>
      <c r="E2" s="1198"/>
      <c r="F2" s="1198"/>
      <c r="G2" s="1198"/>
      <c r="H2" s="1198"/>
      <c r="I2" s="1198"/>
      <c r="J2" s="1198"/>
      <c r="K2" s="1198"/>
    </row>
    <row r="3" spans="1:10" ht="15.75" customHeight="1">
      <c r="A3" s="1429" t="s">
        <v>398</v>
      </c>
      <c r="B3" s="1419" t="s">
        <v>399</v>
      </c>
      <c r="C3" s="1416" t="s">
        <v>400</v>
      </c>
      <c r="D3" s="1417"/>
      <c r="E3" s="1417"/>
      <c r="F3" s="1418"/>
      <c r="G3" s="1419" t="s">
        <v>401</v>
      </c>
      <c r="H3" s="1421" t="s">
        <v>402</v>
      </c>
      <c r="I3" s="1423" t="s">
        <v>403</v>
      </c>
      <c r="J3" s="1424"/>
    </row>
    <row r="4" spans="1:10" ht="39.75" customHeight="1">
      <c r="A4" s="1430"/>
      <c r="B4" s="1420"/>
      <c r="C4" s="28" t="s">
        <v>404</v>
      </c>
      <c r="D4" s="36" t="s">
        <v>405</v>
      </c>
      <c r="E4" s="37" t="s">
        <v>406</v>
      </c>
      <c r="F4" s="28" t="s">
        <v>407</v>
      </c>
      <c r="G4" s="1420"/>
      <c r="H4" s="1422"/>
      <c r="I4" s="1425"/>
      <c r="J4" s="1426"/>
    </row>
    <row r="5" spans="1:10" ht="17.25" customHeight="1">
      <c r="A5" s="11">
        <v>1</v>
      </c>
      <c r="B5" s="11">
        <v>2</v>
      </c>
      <c r="C5" s="11">
        <v>3</v>
      </c>
      <c r="D5" s="11">
        <v>4</v>
      </c>
      <c r="E5" s="38" t="s">
        <v>408</v>
      </c>
      <c r="F5" s="11">
        <v>6</v>
      </c>
      <c r="G5" s="11">
        <v>7</v>
      </c>
      <c r="H5" s="11">
        <v>8</v>
      </c>
      <c r="I5" s="1216">
        <v>9</v>
      </c>
      <c r="J5" s="1217"/>
    </row>
    <row r="6" spans="1:10" ht="15" customHeight="1">
      <c r="A6" s="4"/>
      <c r="B6" s="4"/>
      <c r="C6" s="4"/>
      <c r="D6" s="4"/>
      <c r="E6" s="4"/>
      <c r="F6" s="4"/>
      <c r="G6" s="4"/>
      <c r="H6" s="4"/>
      <c r="I6" s="1089"/>
      <c r="J6" s="1091"/>
    </row>
    <row r="7" spans="1:11" ht="180" customHeight="1">
      <c r="A7" s="1427" t="s">
        <v>409</v>
      </c>
      <c r="B7" s="1427"/>
      <c r="C7" s="1427"/>
      <c r="D7" s="1427"/>
      <c r="E7" s="1427"/>
      <c r="F7" s="1427"/>
      <c r="G7" s="1427"/>
      <c r="H7" s="1427"/>
      <c r="I7" s="1427"/>
      <c r="J7" s="1427"/>
      <c r="K7" s="1427"/>
    </row>
    <row r="8" spans="1:11" ht="73.5" customHeight="1">
      <c r="A8" s="1198" t="s">
        <v>410</v>
      </c>
      <c r="B8" s="1198"/>
      <c r="C8" s="1198"/>
      <c r="D8" s="1198"/>
      <c r="E8" s="1198"/>
      <c r="F8" s="1198"/>
      <c r="G8" s="1198"/>
      <c r="H8" s="1198"/>
      <c r="I8" s="1198"/>
      <c r="J8" s="1198"/>
      <c r="K8" s="1198"/>
    </row>
    <row r="9" spans="1:11" ht="17.25" customHeight="1">
      <c r="A9" s="1411" t="s">
        <v>137</v>
      </c>
      <c r="B9" s="1411"/>
      <c r="C9" s="1411"/>
      <c r="D9" s="1411"/>
      <c r="E9" s="1411"/>
      <c r="F9" s="1411"/>
      <c r="G9" s="1411"/>
      <c r="H9" s="1411"/>
      <c r="I9" s="1411"/>
      <c r="J9" s="1411"/>
      <c r="K9" s="1411"/>
    </row>
  </sheetData>
  <sheetProtection/>
  <mergeCells count="14">
    <mergeCell ref="A7:K7"/>
    <mergeCell ref="A8:K8"/>
    <mergeCell ref="A9:K9"/>
    <mergeCell ref="A1:I1"/>
    <mergeCell ref="J1:K1"/>
    <mergeCell ref="A2:K2"/>
    <mergeCell ref="A3:A4"/>
    <mergeCell ref="B3:B4"/>
    <mergeCell ref="C3:F3"/>
    <mergeCell ref="G3:G4"/>
    <mergeCell ref="H3:H4"/>
    <mergeCell ref="I3:J4"/>
    <mergeCell ref="I5:J5"/>
    <mergeCell ref="I6:J6"/>
  </mergeCells>
  <printOptions/>
  <pageMargins left="0.7" right="0.7" top="0.75" bottom="0.75" header="0.3" footer="0.3"/>
  <pageSetup orientation="portrait" paperSize="9"/>
  <drawing r:id="rId1"/>
</worksheet>
</file>

<file path=xl/worksheets/sheet66.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I1"/>
    </sheetView>
  </sheetViews>
  <sheetFormatPr defaultColWidth="9.33203125" defaultRowHeight="12.75"/>
  <cols>
    <col min="1" max="1" width="48.83203125" style="0" customWidth="1"/>
    <col min="2" max="2" width="4" style="0" customWidth="1"/>
    <col min="3" max="3" width="8.16015625" style="0" customWidth="1"/>
    <col min="4" max="4" width="12.16015625" style="0" customWidth="1"/>
    <col min="5" max="5" width="12.5" style="0" customWidth="1"/>
    <col min="6" max="6" width="12.16015625" style="0" customWidth="1"/>
    <col min="7" max="7" width="12.83203125" style="0" customWidth="1"/>
    <col min="8" max="8" width="11.83203125" style="0" customWidth="1"/>
    <col min="9" max="9" width="5.5" style="0" customWidth="1"/>
    <col min="10" max="10" width="6.83203125" style="0" customWidth="1"/>
    <col min="11" max="12" width="12.16015625" style="0" customWidth="1"/>
    <col min="13" max="13" width="12.5" style="0" customWidth="1"/>
    <col min="14" max="14" width="3.33203125" style="0" customWidth="1"/>
  </cols>
  <sheetData>
    <row r="1" spans="1:14" ht="113.25" customHeight="1">
      <c r="A1" s="1412" t="s">
        <v>411</v>
      </c>
      <c r="B1" s="1412"/>
      <c r="C1" s="1431" t="s">
        <v>412</v>
      </c>
      <c r="D1" s="1431"/>
      <c r="E1" s="1431"/>
      <c r="F1" s="1431"/>
      <c r="G1" s="1431"/>
      <c r="H1" s="1431"/>
      <c r="I1" s="1431"/>
      <c r="J1" s="1432" t="s">
        <v>413</v>
      </c>
      <c r="K1" s="1432"/>
      <c r="L1" s="1432"/>
      <c r="M1" s="1432"/>
      <c r="N1" s="1432"/>
    </row>
    <row r="2" spans="1:13" ht="17.25" customHeight="1">
      <c r="A2" s="4"/>
      <c r="B2" s="1080" t="s">
        <v>414</v>
      </c>
      <c r="C2" s="1081"/>
      <c r="D2" s="1081"/>
      <c r="E2" s="1081"/>
      <c r="F2" s="1081"/>
      <c r="G2" s="1082"/>
      <c r="H2" s="1080" t="s">
        <v>415</v>
      </c>
      <c r="I2" s="1081"/>
      <c r="J2" s="1081"/>
      <c r="K2" s="1081"/>
      <c r="L2" s="1081"/>
      <c r="M2" s="1082"/>
    </row>
    <row r="3" spans="1:13" ht="43.5" customHeight="1">
      <c r="A3" s="6" t="s">
        <v>416</v>
      </c>
      <c r="B3" s="1205" t="s">
        <v>275</v>
      </c>
      <c r="C3" s="1206"/>
      <c r="D3" s="39" t="s">
        <v>276</v>
      </c>
      <c r="E3" s="39" t="s">
        <v>417</v>
      </c>
      <c r="F3" s="39" t="s">
        <v>418</v>
      </c>
      <c r="G3" s="1" t="s">
        <v>419</v>
      </c>
      <c r="H3" s="39" t="s">
        <v>275</v>
      </c>
      <c r="I3" s="1205" t="s">
        <v>276</v>
      </c>
      <c r="J3" s="1206"/>
      <c r="K3" s="39" t="s">
        <v>417</v>
      </c>
      <c r="L3" s="39" t="s">
        <v>418</v>
      </c>
      <c r="M3" s="25" t="s">
        <v>420</v>
      </c>
    </row>
    <row r="4" spans="1:13" ht="17.25" customHeight="1">
      <c r="A4" s="11">
        <v>1</v>
      </c>
      <c r="B4" s="1216">
        <v>2</v>
      </c>
      <c r="C4" s="1217"/>
      <c r="D4" s="11">
        <v>3</v>
      </c>
      <c r="E4" s="11">
        <v>4</v>
      </c>
      <c r="F4" s="11">
        <v>5</v>
      </c>
      <c r="G4" s="11">
        <v>6</v>
      </c>
      <c r="H4" s="11">
        <v>7</v>
      </c>
      <c r="I4" s="1216">
        <v>8</v>
      </c>
      <c r="J4" s="1217"/>
      <c r="K4" s="11">
        <v>9</v>
      </c>
      <c r="L4" s="11">
        <v>10</v>
      </c>
      <c r="M4" s="11">
        <v>11</v>
      </c>
    </row>
    <row r="5" spans="1:13" ht="15.75" customHeight="1">
      <c r="A5" s="4"/>
      <c r="B5" s="1089"/>
      <c r="C5" s="1091"/>
      <c r="D5" s="4"/>
      <c r="E5" s="4"/>
      <c r="F5" s="4"/>
      <c r="G5" s="4"/>
      <c r="H5" s="4"/>
      <c r="I5" s="1089"/>
      <c r="J5" s="1091"/>
      <c r="K5" s="4"/>
      <c r="L5" s="4"/>
      <c r="M5" s="4"/>
    </row>
    <row r="6" spans="1:13" ht="34.5" customHeight="1">
      <c r="A6" s="5" t="s">
        <v>421</v>
      </c>
      <c r="B6" s="1209"/>
      <c r="C6" s="1097"/>
      <c r="D6" s="6"/>
      <c r="E6" s="6"/>
      <c r="F6" s="6"/>
      <c r="G6" s="6"/>
      <c r="H6" s="6"/>
      <c r="I6" s="1209"/>
      <c r="J6" s="1097"/>
      <c r="K6" s="6"/>
      <c r="L6" s="6"/>
      <c r="M6" s="6"/>
    </row>
    <row r="7" spans="1:13" ht="15.75" customHeight="1">
      <c r="A7" s="4"/>
      <c r="B7" s="1089"/>
      <c r="C7" s="1091"/>
      <c r="D7" s="4"/>
      <c r="E7" s="4"/>
      <c r="F7" s="4"/>
      <c r="G7" s="4"/>
      <c r="H7" s="4"/>
      <c r="I7" s="1089"/>
      <c r="J7" s="1091"/>
      <c r="K7" s="4"/>
      <c r="L7" s="4"/>
      <c r="M7" s="4"/>
    </row>
    <row r="8" spans="1:13" ht="17.25" customHeight="1">
      <c r="A8" s="1" t="s">
        <v>422</v>
      </c>
      <c r="B8" s="1089"/>
      <c r="C8" s="1091"/>
      <c r="D8" s="4"/>
      <c r="E8" s="4"/>
      <c r="F8" s="4"/>
      <c r="G8" s="4"/>
      <c r="H8" s="4"/>
      <c r="I8" s="1089"/>
      <c r="J8" s="1091"/>
      <c r="K8" s="4"/>
      <c r="L8" s="4"/>
      <c r="M8" s="4"/>
    </row>
    <row r="9" spans="1:13" ht="17.25" customHeight="1">
      <c r="A9" s="1" t="s">
        <v>423</v>
      </c>
      <c r="B9" s="1089"/>
      <c r="C9" s="1091"/>
      <c r="D9" s="4"/>
      <c r="E9" s="4"/>
      <c r="F9" s="4"/>
      <c r="G9" s="4"/>
      <c r="H9" s="4"/>
      <c r="I9" s="1089"/>
      <c r="J9" s="1091"/>
      <c r="K9" s="4"/>
      <c r="L9" s="4"/>
      <c r="M9" s="4"/>
    </row>
    <row r="10" spans="1:13" ht="17.25" customHeight="1">
      <c r="A10" s="1" t="s">
        <v>424</v>
      </c>
      <c r="B10" s="1089"/>
      <c r="C10" s="1091"/>
      <c r="D10" s="4"/>
      <c r="E10" s="4"/>
      <c r="F10" s="4"/>
      <c r="G10" s="4"/>
      <c r="H10" s="4"/>
      <c r="I10" s="1089"/>
      <c r="J10" s="1091"/>
      <c r="K10" s="4"/>
      <c r="L10" s="4"/>
      <c r="M10" s="4"/>
    </row>
    <row r="11" spans="1:13" ht="17.25" customHeight="1">
      <c r="A11" s="1" t="s">
        <v>425</v>
      </c>
      <c r="B11" s="1089"/>
      <c r="C11" s="1091"/>
      <c r="D11" s="4"/>
      <c r="E11" s="4"/>
      <c r="F11" s="4"/>
      <c r="G11" s="4"/>
      <c r="H11" s="4"/>
      <c r="I11" s="1089"/>
      <c r="J11" s="1091"/>
      <c r="K11" s="4"/>
      <c r="L11" s="4"/>
      <c r="M11" s="4"/>
    </row>
    <row r="12" spans="1:13" ht="17.25" customHeight="1">
      <c r="A12" s="5" t="s">
        <v>426</v>
      </c>
      <c r="B12" s="1089"/>
      <c r="C12" s="1091"/>
      <c r="D12" s="4"/>
      <c r="E12" s="4"/>
      <c r="F12" s="4"/>
      <c r="G12" s="4"/>
      <c r="H12" s="4"/>
      <c r="I12" s="1089"/>
      <c r="J12" s="1091"/>
      <c r="K12" s="4"/>
      <c r="L12" s="4"/>
      <c r="M12" s="4"/>
    </row>
    <row r="13" spans="1:13" ht="15.75" customHeight="1">
      <c r="A13" s="4"/>
      <c r="B13" s="1089"/>
      <c r="C13" s="1091"/>
      <c r="D13" s="4"/>
      <c r="E13" s="4"/>
      <c r="F13" s="4"/>
      <c r="G13" s="4"/>
      <c r="H13" s="4"/>
      <c r="I13" s="1089"/>
      <c r="J13" s="1091"/>
      <c r="K13" s="4"/>
      <c r="L13" s="4"/>
      <c r="M13" s="4"/>
    </row>
    <row r="14" spans="1:13" ht="17.25" customHeight="1">
      <c r="A14" s="1" t="s">
        <v>427</v>
      </c>
      <c r="B14" s="1089"/>
      <c r="C14" s="1091"/>
      <c r="D14" s="4"/>
      <c r="E14" s="4"/>
      <c r="F14" s="4"/>
      <c r="G14" s="4"/>
      <c r="H14" s="4"/>
      <c r="I14" s="1089"/>
      <c r="J14" s="1091"/>
      <c r="K14" s="4"/>
      <c r="L14" s="4"/>
      <c r="M14" s="4"/>
    </row>
    <row r="15" spans="1:13" ht="17.25" customHeight="1">
      <c r="A15" s="1" t="s">
        <v>428</v>
      </c>
      <c r="B15" s="1089"/>
      <c r="C15" s="1091"/>
      <c r="D15" s="4"/>
      <c r="E15" s="4"/>
      <c r="F15" s="4"/>
      <c r="G15" s="4"/>
      <c r="H15" s="4"/>
      <c r="I15" s="1089"/>
      <c r="J15" s="1091"/>
      <c r="K15" s="4"/>
      <c r="L15" s="4"/>
      <c r="M15" s="4"/>
    </row>
    <row r="16" spans="1:13" ht="17.25" customHeight="1">
      <c r="A16" s="1" t="s">
        <v>429</v>
      </c>
      <c r="B16" s="1089"/>
      <c r="C16" s="1091"/>
      <c r="D16" s="4"/>
      <c r="E16" s="4"/>
      <c r="F16" s="4"/>
      <c r="G16" s="4"/>
      <c r="H16" s="4"/>
      <c r="I16" s="1089"/>
      <c r="J16" s="1091"/>
      <c r="K16" s="4"/>
      <c r="L16" s="4"/>
      <c r="M16" s="4"/>
    </row>
    <row r="17" spans="1:13" ht="15.75" customHeight="1">
      <c r="A17" s="4"/>
      <c r="B17" s="1089"/>
      <c r="C17" s="1091"/>
      <c r="D17" s="4"/>
      <c r="E17" s="4"/>
      <c r="F17" s="4"/>
      <c r="G17" s="4"/>
      <c r="H17" s="4"/>
      <c r="I17" s="1089"/>
      <c r="J17" s="1091"/>
      <c r="K17" s="4"/>
      <c r="L17" s="4"/>
      <c r="M17" s="4"/>
    </row>
    <row r="18" spans="1:13" ht="17.25" customHeight="1">
      <c r="A18" s="1" t="s">
        <v>126</v>
      </c>
      <c r="B18" s="1089"/>
      <c r="C18" s="1091"/>
      <c r="D18" s="4"/>
      <c r="E18" s="4"/>
      <c r="F18" s="4"/>
      <c r="G18" s="4"/>
      <c r="H18" s="4"/>
      <c r="I18" s="1089"/>
      <c r="J18" s="1091"/>
      <c r="K18" s="4"/>
      <c r="L18" s="4"/>
      <c r="M18" s="4"/>
    </row>
    <row r="19" spans="1:14" ht="51.75" customHeight="1">
      <c r="A19" s="1198" t="s">
        <v>430</v>
      </c>
      <c r="B19" s="1198"/>
      <c r="C19" s="1198"/>
      <c r="D19" s="1198"/>
      <c r="E19" s="1198"/>
      <c r="F19" s="1198"/>
      <c r="G19" s="1198"/>
      <c r="H19" s="1198"/>
      <c r="I19" s="1198"/>
      <c r="J19" s="1198"/>
      <c r="K19" s="1198"/>
      <c r="L19" s="1198"/>
      <c r="M19" s="1198"/>
      <c r="N19" s="1198"/>
    </row>
    <row r="20" spans="1:14" ht="17.25" customHeight="1">
      <c r="A20" s="1411" t="s">
        <v>137</v>
      </c>
      <c r="B20" s="1411"/>
      <c r="C20" s="1411"/>
      <c r="D20" s="1411"/>
      <c r="E20" s="1411"/>
      <c r="F20" s="1411"/>
      <c r="G20" s="1411"/>
      <c r="H20" s="1411"/>
      <c r="I20" s="1411"/>
      <c r="J20" s="1411"/>
      <c r="K20" s="1411"/>
      <c r="L20" s="1411"/>
      <c r="M20" s="1411"/>
      <c r="N20" s="1411"/>
    </row>
  </sheetData>
  <sheetProtection/>
  <mergeCells count="39">
    <mergeCell ref="B3:C3"/>
    <mergeCell ref="I3:J3"/>
    <mergeCell ref="A1:B1"/>
    <mergeCell ref="C1:I1"/>
    <mergeCell ref="J1:N1"/>
    <mergeCell ref="B2:G2"/>
    <mergeCell ref="H2:M2"/>
    <mergeCell ref="B4:C4"/>
    <mergeCell ref="I4:J4"/>
    <mergeCell ref="B5:C5"/>
    <mergeCell ref="I5:J5"/>
    <mergeCell ref="B6:C6"/>
    <mergeCell ref="I6:J6"/>
    <mergeCell ref="B7:C7"/>
    <mergeCell ref="I7:J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 ref="B18:C18"/>
    <mergeCell ref="I18:J18"/>
    <mergeCell ref="A19:N19"/>
    <mergeCell ref="A20:N20"/>
    <mergeCell ref="B15:C15"/>
    <mergeCell ref="I15:J15"/>
    <mergeCell ref="B16:C16"/>
    <mergeCell ref="I16:J16"/>
    <mergeCell ref="B17:C17"/>
    <mergeCell ref="I17:J17"/>
  </mergeCells>
  <printOptions/>
  <pageMargins left="0.7" right="0.7" top="0.75" bottom="0.75" header="0.3" footer="0.3"/>
  <pageSetup orientation="portrait" paperSize="9"/>
  <drawing r:id="rId1"/>
</worksheet>
</file>

<file path=xl/worksheets/sheet67.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D1"/>
    </sheetView>
  </sheetViews>
  <sheetFormatPr defaultColWidth="9.33203125" defaultRowHeight="12.75"/>
  <cols>
    <col min="1" max="1" width="7.16015625" style="0" customWidth="1"/>
    <col min="2" max="2" width="30" style="0" customWidth="1"/>
    <col min="3" max="3" width="36.83203125" style="0" customWidth="1"/>
    <col min="4" max="4" width="20.83203125" style="0" customWidth="1"/>
    <col min="5" max="5" width="3.5" style="0" customWidth="1"/>
    <col min="6" max="6" width="24" style="0" customWidth="1"/>
    <col min="7" max="7" width="2.83203125" style="0" customWidth="1"/>
  </cols>
  <sheetData>
    <row r="1" spans="1:7" ht="42.75" customHeight="1">
      <c r="A1" s="1433" t="s">
        <v>431</v>
      </c>
      <c r="B1" s="1433"/>
      <c r="C1" s="1433"/>
      <c r="D1" s="1433"/>
      <c r="E1" s="1434" t="s">
        <v>432</v>
      </c>
      <c r="F1" s="1434"/>
      <c r="G1" s="1434"/>
    </row>
    <row r="2" spans="1:7" ht="34.5" customHeight="1">
      <c r="A2" s="1198" t="s">
        <v>433</v>
      </c>
      <c r="B2" s="1198"/>
      <c r="C2" s="1198"/>
      <c r="D2" s="1198"/>
      <c r="E2" s="1198"/>
      <c r="F2" s="1198"/>
      <c r="G2" s="1198"/>
    </row>
    <row r="3" spans="1:7" ht="17.25" customHeight="1">
      <c r="A3" s="1435" t="s">
        <v>434</v>
      </c>
      <c r="B3" s="1435"/>
      <c r="C3" s="1435"/>
      <c r="D3" s="1435"/>
      <c r="E3" s="1435"/>
      <c r="F3" s="1435"/>
      <c r="G3" s="1435"/>
    </row>
    <row r="4" spans="1:6" ht="72.75" customHeight="1">
      <c r="A4" s="6" t="s">
        <v>273</v>
      </c>
      <c r="B4" s="6" t="s">
        <v>435</v>
      </c>
      <c r="C4" s="5" t="s">
        <v>436</v>
      </c>
      <c r="D4" s="1229" t="s">
        <v>437</v>
      </c>
      <c r="E4" s="1230"/>
      <c r="F4" s="1" t="s">
        <v>438</v>
      </c>
    </row>
    <row r="5" spans="1:6" ht="17.25" customHeight="1">
      <c r="A5" s="23">
        <v>1</v>
      </c>
      <c r="B5" s="11">
        <v>2</v>
      </c>
      <c r="C5" s="11">
        <v>3</v>
      </c>
      <c r="D5" s="1216">
        <v>4</v>
      </c>
      <c r="E5" s="1217"/>
      <c r="F5" s="1" t="s">
        <v>439</v>
      </c>
    </row>
    <row r="6" spans="1:6" ht="17.25" customHeight="1">
      <c r="A6" s="40">
        <v>1</v>
      </c>
      <c r="B6" s="3" t="s">
        <v>440</v>
      </c>
      <c r="C6" s="4"/>
      <c r="D6" s="1089"/>
      <c r="E6" s="1091"/>
      <c r="F6" s="4"/>
    </row>
    <row r="7" spans="1:6" ht="17.25" customHeight="1">
      <c r="A7" s="40">
        <v>2</v>
      </c>
      <c r="B7" s="3" t="s">
        <v>441</v>
      </c>
      <c r="C7" s="4"/>
      <c r="D7" s="1089"/>
      <c r="E7" s="1091"/>
      <c r="F7" s="4"/>
    </row>
    <row r="8" spans="1:6" ht="17.25" customHeight="1">
      <c r="A8" s="40">
        <v>3</v>
      </c>
      <c r="B8" s="3" t="s">
        <v>343</v>
      </c>
      <c r="C8" s="4"/>
      <c r="D8" s="1089"/>
      <c r="E8" s="1091"/>
      <c r="F8" s="4"/>
    </row>
    <row r="9" spans="1:6" ht="17.25" customHeight="1">
      <c r="A9" s="40">
        <v>4</v>
      </c>
      <c r="B9" s="4"/>
      <c r="C9" s="4"/>
      <c r="D9" s="1089"/>
      <c r="E9" s="1091"/>
      <c r="F9" s="4"/>
    </row>
    <row r="10" spans="1:6" ht="17.25" customHeight="1">
      <c r="A10" s="40">
        <v>5</v>
      </c>
      <c r="B10" s="4"/>
      <c r="C10" s="4"/>
      <c r="D10" s="1089"/>
      <c r="E10" s="1091"/>
      <c r="F10" s="4"/>
    </row>
    <row r="11" spans="1:6" ht="17.25" customHeight="1">
      <c r="A11" s="40">
        <v>6</v>
      </c>
      <c r="B11" s="4"/>
      <c r="C11" s="4"/>
      <c r="D11" s="1089"/>
      <c r="E11" s="1091"/>
      <c r="F11" s="4"/>
    </row>
    <row r="12" spans="1:6" ht="17.25" customHeight="1">
      <c r="A12" s="40">
        <v>7</v>
      </c>
      <c r="B12" s="4"/>
      <c r="C12" s="4"/>
      <c r="D12" s="1089"/>
      <c r="E12" s="1091"/>
      <c r="F12" s="4"/>
    </row>
    <row r="13" spans="1:6" ht="17.25" customHeight="1">
      <c r="A13" s="40">
        <v>8</v>
      </c>
      <c r="B13" s="4"/>
      <c r="C13" s="4"/>
      <c r="D13" s="1089"/>
      <c r="E13" s="1091"/>
      <c r="F13" s="4"/>
    </row>
    <row r="14" spans="1:6" ht="17.25" customHeight="1">
      <c r="A14" s="40">
        <v>9</v>
      </c>
      <c r="B14" s="4"/>
      <c r="C14" s="4"/>
      <c r="D14" s="1089"/>
      <c r="E14" s="1091"/>
      <c r="F14" s="4"/>
    </row>
    <row r="15" spans="1:6" ht="17.25" customHeight="1">
      <c r="A15" s="40">
        <v>10</v>
      </c>
      <c r="B15" s="4"/>
      <c r="C15" s="4"/>
      <c r="D15" s="1089"/>
      <c r="E15" s="1091"/>
      <c r="F15" s="4"/>
    </row>
    <row r="16" spans="1:6" ht="17.25" customHeight="1">
      <c r="A16" s="40">
        <v>18</v>
      </c>
      <c r="B16" s="4"/>
      <c r="C16" s="4"/>
      <c r="D16" s="1089"/>
      <c r="E16" s="1091"/>
      <c r="F16" s="4"/>
    </row>
    <row r="17" spans="1:6" ht="17.25" customHeight="1">
      <c r="A17" s="40">
        <v>19</v>
      </c>
      <c r="B17" s="4"/>
      <c r="C17" s="4"/>
      <c r="D17" s="1089"/>
      <c r="E17" s="1091"/>
      <c r="F17" s="4"/>
    </row>
    <row r="18" spans="1:6" ht="17.25" customHeight="1">
      <c r="A18" s="40">
        <v>20</v>
      </c>
      <c r="B18" s="4"/>
      <c r="C18" s="4"/>
      <c r="D18" s="1089"/>
      <c r="E18" s="1091"/>
      <c r="F18" s="4"/>
    </row>
    <row r="19" spans="1:6" ht="17.25" customHeight="1">
      <c r="A19" s="40">
        <v>21</v>
      </c>
      <c r="B19" s="4"/>
      <c r="C19" s="4"/>
      <c r="D19" s="1089"/>
      <c r="E19" s="1091"/>
      <c r="F19" s="4"/>
    </row>
    <row r="20" spans="1:6" ht="17.25" customHeight="1">
      <c r="A20" s="40">
        <v>22</v>
      </c>
      <c r="B20" s="4"/>
      <c r="C20" s="4"/>
      <c r="D20" s="1089"/>
      <c r="E20" s="1091"/>
      <c r="F20" s="4"/>
    </row>
    <row r="21" spans="1:6" ht="17.25" customHeight="1">
      <c r="A21" s="40">
        <v>23</v>
      </c>
      <c r="B21" s="4"/>
      <c r="C21" s="4"/>
      <c r="D21" s="1089"/>
      <c r="E21" s="1091"/>
      <c r="F21" s="4"/>
    </row>
    <row r="22" spans="1:6" ht="17.25" customHeight="1">
      <c r="A22" s="40">
        <v>24</v>
      </c>
      <c r="B22" s="4"/>
      <c r="C22" s="4"/>
      <c r="D22" s="1089"/>
      <c r="E22" s="1091"/>
      <c r="F22" s="4"/>
    </row>
    <row r="23" spans="1:6" ht="17.25" customHeight="1">
      <c r="A23" s="40">
        <v>25</v>
      </c>
      <c r="B23" s="4"/>
      <c r="C23" s="4"/>
      <c r="D23" s="1089"/>
      <c r="E23" s="1091"/>
      <c r="F23" s="4"/>
    </row>
    <row r="24" spans="1:6" ht="17.25" customHeight="1">
      <c r="A24" s="40">
        <v>26</v>
      </c>
      <c r="B24" s="4"/>
      <c r="C24" s="4"/>
      <c r="D24" s="1089"/>
      <c r="E24" s="1091"/>
      <c r="F24" s="4"/>
    </row>
    <row r="25" spans="1:6" ht="17.25" customHeight="1">
      <c r="A25" s="40">
        <v>27</v>
      </c>
      <c r="B25" s="4"/>
      <c r="C25" s="4"/>
      <c r="D25" s="1089"/>
      <c r="E25" s="1091"/>
      <c r="F25" s="4"/>
    </row>
    <row r="26" spans="1:6" ht="17.25" customHeight="1">
      <c r="A26" s="40">
        <v>28</v>
      </c>
      <c r="B26" s="4"/>
      <c r="C26" s="4"/>
      <c r="D26" s="1089"/>
      <c r="E26" s="1091"/>
      <c r="F26" s="4"/>
    </row>
    <row r="27" spans="1:6" ht="17.25" customHeight="1">
      <c r="A27" s="40">
        <v>29</v>
      </c>
      <c r="B27" s="4"/>
      <c r="C27" s="4"/>
      <c r="D27" s="1089"/>
      <c r="E27" s="1091"/>
      <c r="F27" s="4"/>
    </row>
    <row r="28" spans="1:6" ht="17.25" customHeight="1">
      <c r="A28" s="40">
        <v>30</v>
      </c>
      <c r="B28" s="4"/>
      <c r="C28" s="4"/>
      <c r="D28" s="1089"/>
      <c r="E28" s="1091"/>
      <c r="F28" s="4"/>
    </row>
    <row r="29" spans="1:6" ht="17.25" customHeight="1">
      <c r="A29" s="4"/>
      <c r="B29" s="1" t="s">
        <v>442</v>
      </c>
      <c r="C29" s="4"/>
      <c r="D29" s="1089"/>
      <c r="E29" s="1091"/>
      <c r="F29" s="4"/>
    </row>
    <row r="30" spans="1:6" ht="34.5" customHeight="1">
      <c r="A30" s="6"/>
      <c r="B30" s="5" t="s">
        <v>443</v>
      </c>
      <c r="C30" s="6"/>
      <c r="D30" s="1209"/>
      <c r="E30" s="1097"/>
      <c r="F30" s="6"/>
    </row>
    <row r="31" spans="1:6" ht="17.25" customHeight="1">
      <c r="A31" s="4"/>
      <c r="B31" s="1" t="s">
        <v>444</v>
      </c>
      <c r="C31" s="4"/>
      <c r="D31" s="1089"/>
      <c r="E31" s="1091"/>
      <c r="F31" s="4"/>
    </row>
    <row r="32" spans="1:7" ht="64.5" customHeight="1">
      <c r="A32" s="1198" t="s">
        <v>445</v>
      </c>
      <c r="B32" s="1198"/>
      <c r="C32" s="1198"/>
      <c r="D32" s="1198"/>
      <c r="E32" s="1198"/>
      <c r="F32" s="1198"/>
      <c r="G32" s="1198"/>
    </row>
    <row r="33" spans="1:7" ht="36" customHeight="1">
      <c r="A33" s="1378" t="s">
        <v>446</v>
      </c>
      <c r="B33" s="1378"/>
      <c r="C33" s="1378"/>
      <c r="D33" s="1378"/>
      <c r="E33" s="1378"/>
      <c r="F33" s="1378"/>
      <c r="G33" s="1378"/>
    </row>
  </sheetData>
  <sheetProtection/>
  <mergeCells count="34">
    <mergeCell ref="D7:E7"/>
    <mergeCell ref="D8:E8"/>
    <mergeCell ref="D9:E9"/>
    <mergeCell ref="D10:E10"/>
    <mergeCell ref="D21:E21"/>
    <mergeCell ref="D22:E22"/>
    <mergeCell ref="D11:E11"/>
    <mergeCell ref="D20:E20"/>
    <mergeCell ref="A1:D1"/>
    <mergeCell ref="E1:G1"/>
    <mergeCell ref="A2:G2"/>
    <mergeCell ref="A3:G3"/>
    <mergeCell ref="D4:E4"/>
    <mergeCell ref="D5:E5"/>
    <mergeCell ref="D6:E6"/>
    <mergeCell ref="D23:E23"/>
    <mergeCell ref="D12:E12"/>
    <mergeCell ref="D13:E13"/>
    <mergeCell ref="D14:E14"/>
    <mergeCell ref="D15:E15"/>
    <mergeCell ref="D16:E16"/>
    <mergeCell ref="D17:E17"/>
    <mergeCell ref="D18:E18"/>
    <mergeCell ref="D19:E19"/>
    <mergeCell ref="D24:E24"/>
    <mergeCell ref="D30:E30"/>
    <mergeCell ref="D31:E31"/>
    <mergeCell ref="A32:G32"/>
    <mergeCell ref="A33:G33"/>
    <mergeCell ref="D25:E25"/>
    <mergeCell ref="D26:E26"/>
    <mergeCell ref="D27:E27"/>
    <mergeCell ref="D28:E28"/>
    <mergeCell ref="D29:E29"/>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L18"/>
  <sheetViews>
    <sheetView zoomScalePageLayoutView="0" workbookViewId="0" topLeftCell="A1">
      <selection activeCell="M2" sqref="M2"/>
    </sheetView>
  </sheetViews>
  <sheetFormatPr defaultColWidth="9.33203125" defaultRowHeight="12.75"/>
  <cols>
    <col min="1" max="1" width="11.16015625" style="0" customWidth="1"/>
    <col min="2" max="2" width="52" style="0" customWidth="1"/>
    <col min="3" max="3" width="2.16015625" style="0" customWidth="1"/>
    <col min="4" max="4" width="14.5" style="0" customWidth="1"/>
    <col min="5" max="6" width="14.66015625" style="0" customWidth="1"/>
    <col min="7" max="7" width="14.5" style="0" customWidth="1"/>
    <col min="8" max="8" width="1.171875" style="0" customWidth="1"/>
    <col min="9" max="9" width="3.5" style="0" customWidth="1"/>
    <col min="10" max="10" width="9.83203125" style="0" customWidth="1"/>
    <col min="11" max="11" width="14.66015625" style="0" customWidth="1"/>
    <col min="12" max="12" width="29.83203125" style="0" customWidth="1"/>
  </cols>
  <sheetData>
    <row r="1" spans="1:12" ht="90.75" customHeight="1">
      <c r="A1" s="1219" t="s">
        <v>350</v>
      </c>
      <c r="B1" s="1219"/>
      <c r="C1" s="1211" t="s">
        <v>447</v>
      </c>
      <c r="D1" s="1211"/>
      <c r="E1" s="1211"/>
      <c r="F1" s="1211"/>
      <c r="G1" s="1211"/>
      <c r="H1" s="1211"/>
      <c r="I1" s="1220" t="s">
        <v>448</v>
      </c>
      <c r="J1" s="1220"/>
      <c r="K1" s="1220"/>
      <c r="L1" s="970"/>
    </row>
    <row r="2" spans="1:11" ht="34.5" customHeight="1">
      <c r="A2" s="8" t="s">
        <v>92</v>
      </c>
      <c r="B2" s="1080" t="s">
        <v>109</v>
      </c>
      <c r="C2" s="1082"/>
      <c r="D2" s="25" t="s">
        <v>111</v>
      </c>
      <c r="E2" s="2" t="s">
        <v>112</v>
      </c>
      <c r="F2" s="2" t="s">
        <v>113</v>
      </c>
      <c r="G2" s="2" t="s">
        <v>114</v>
      </c>
      <c r="H2" s="1080" t="s">
        <v>115</v>
      </c>
      <c r="I2" s="1081"/>
      <c r="J2" s="1082"/>
      <c r="K2" s="2" t="s">
        <v>116</v>
      </c>
    </row>
    <row r="3" spans="1:11" ht="17.25" customHeight="1">
      <c r="A3" s="11">
        <v>1</v>
      </c>
      <c r="B3" s="1216">
        <v>2</v>
      </c>
      <c r="C3" s="1217"/>
      <c r="D3" s="11">
        <v>3</v>
      </c>
      <c r="E3" s="11">
        <v>4</v>
      </c>
      <c r="F3" s="11">
        <v>5</v>
      </c>
      <c r="G3" s="11">
        <v>6</v>
      </c>
      <c r="H3" s="1216">
        <v>7</v>
      </c>
      <c r="I3" s="1218"/>
      <c r="J3" s="1217"/>
      <c r="K3" s="11">
        <v>8</v>
      </c>
    </row>
    <row r="4" spans="1:11" ht="17.25" customHeight="1">
      <c r="A4" s="42">
        <v>1</v>
      </c>
      <c r="B4" s="1224" t="s">
        <v>141</v>
      </c>
      <c r="C4" s="1225"/>
      <c r="D4" s="4"/>
      <c r="E4" s="4"/>
      <c r="F4" s="4"/>
      <c r="G4" s="4"/>
      <c r="H4" s="1089"/>
      <c r="I4" s="1090"/>
      <c r="J4" s="1091"/>
      <c r="K4" s="4"/>
    </row>
    <row r="5" spans="1:11" ht="17.25" customHeight="1">
      <c r="A5" s="42">
        <v>2</v>
      </c>
      <c r="B5" s="1224" t="s">
        <v>449</v>
      </c>
      <c r="C5" s="1225"/>
      <c r="D5" s="4"/>
      <c r="E5" s="4"/>
      <c r="F5" s="4"/>
      <c r="G5" s="4"/>
      <c r="H5" s="1089"/>
      <c r="I5" s="1090"/>
      <c r="J5" s="1091"/>
      <c r="K5" s="4"/>
    </row>
    <row r="6" spans="1:11" ht="17.25" customHeight="1">
      <c r="A6" s="42">
        <v>3</v>
      </c>
      <c r="B6" s="1076" t="s">
        <v>147</v>
      </c>
      <c r="C6" s="1078"/>
      <c r="D6" s="4"/>
      <c r="E6" s="4"/>
      <c r="F6" s="4"/>
      <c r="G6" s="4"/>
      <c r="H6" s="1089"/>
      <c r="I6" s="1090"/>
      <c r="J6" s="1091"/>
      <c r="K6" s="4"/>
    </row>
    <row r="7" spans="1:11" ht="17.25" customHeight="1">
      <c r="A7" s="42">
        <v>4</v>
      </c>
      <c r="B7" s="1224" t="s">
        <v>330</v>
      </c>
      <c r="C7" s="1225"/>
      <c r="D7" s="4"/>
      <c r="E7" s="4"/>
      <c r="F7" s="4"/>
      <c r="G7" s="4"/>
      <c r="H7" s="1089"/>
      <c r="I7" s="1090"/>
      <c r="J7" s="1091"/>
      <c r="K7" s="4"/>
    </row>
    <row r="8" spans="1:11" ht="17.25" customHeight="1">
      <c r="A8" s="42">
        <v>5</v>
      </c>
      <c r="B8" s="1224" t="s">
        <v>450</v>
      </c>
      <c r="C8" s="1225"/>
      <c r="D8" s="4"/>
      <c r="E8" s="4"/>
      <c r="F8" s="4"/>
      <c r="G8" s="4"/>
      <c r="H8" s="1089"/>
      <c r="I8" s="1090"/>
      <c r="J8" s="1091"/>
      <c r="K8" s="4"/>
    </row>
    <row r="9" spans="1:11" ht="17.25" customHeight="1">
      <c r="A9" s="42">
        <v>6</v>
      </c>
      <c r="B9" s="1224" t="s">
        <v>451</v>
      </c>
      <c r="C9" s="1225"/>
      <c r="D9" s="4"/>
      <c r="E9" s="4"/>
      <c r="F9" s="4"/>
      <c r="G9" s="4"/>
      <c r="H9" s="1089"/>
      <c r="I9" s="1090"/>
      <c r="J9" s="1091"/>
      <c r="K9" s="4"/>
    </row>
    <row r="10" spans="1:11" ht="34.5" customHeight="1">
      <c r="A10" s="42">
        <v>7</v>
      </c>
      <c r="B10" s="1229" t="s">
        <v>452</v>
      </c>
      <c r="C10" s="1230"/>
      <c r="D10" s="6"/>
      <c r="E10" s="6"/>
      <c r="F10" s="6"/>
      <c r="G10" s="6"/>
      <c r="H10" s="1209"/>
      <c r="I10" s="1096"/>
      <c r="J10" s="1097"/>
      <c r="K10" s="6"/>
    </row>
    <row r="11" spans="1:11" ht="17.25" customHeight="1">
      <c r="A11" s="42">
        <v>8</v>
      </c>
      <c r="B11" s="1224" t="s">
        <v>453</v>
      </c>
      <c r="C11" s="1225"/>
      <c r="D11" s="4"/>
      <c r="E11" s="4"/>
      <c r="F11" s="4"/>
      <c r="G11" s="4"/>
      <c r="H11" s="1089"/>
      <c r="I11" s="1090"/>
      <c r="J11" s="1091"/>
      <c r="K11" s="4"/>
    </row>
    <row r="12" spans="1:11" ht="17.25" customHeight="1">
      <c r="A12" s="42">
        <v>9</v>
      </c>
      <c r="B12" s="1076" t="s">
        <v>454</v>
      </c>
      <c r="C12" s="1078"/>
      <c r="D12" s="4"/>
      <c r="E12" s="4"/>
      <c r="F12" s="4"/>
      <c r="G12" s="4"/>
      <c r="H12" s="1089"/>
      <c r="I12" s="1090"/>
      <c r="J12" s="1091"/>
      <c r="K12" s="4"/>
    </row>
    <row r="13" spans="1:11" ht="17.25" customHeight="1">
      <c r="A13" s="43">
        <v>10</v>
      </c>
      <c r="B13" s="1076" t="s">
        <v>455</v>
      </c>
      <c r="C13" s="1078"/>
      <c r="D13" s="4"/>
      <c r="E13" s="4"/>
      <c r="F13" s="4"/>
      <c r="G13" s="4"/>
      <c r="H13" s="1089"/>
      <c r="I13" s="1090"/>
      <c r="J13" s="1091"/>
      <c r="K13" s="4"/>
    </row>
    <row r="14" spans="1:11" ht="34.5" customHeight="1">
      <c r="A14" s="43">
        <v>11</v>
      </c>
      <c r="B14" s="1229" t="s">
        <v>456</v>
      </c>
      <c r="C14" s="1230"/>
      <c r="D14" s="6"/>
      <c r="E14" s="6"/>
      <c r="F14" s="6"/>
      <c r="G14" s="6"/>
      <c r="H14" s="1209"/>
      <c r="I14" s="1096"/>
      <c r="J14" s="1097"/>
      <c r="K14" s="6"/>
    </row>
    <row r="15" spans="1:11" ht="45" customHeight="1">
      <c r="A15" s="44">
        <v>12</v>
      </c>
      <c r="B15" s="1229" t="s">
        <v>457</v>
      </c>
      <c r="C15" s="1230"/>
      <c r="D15" s="6"/>
      <c r="E15" s="6"/>
      <c r="F15" s="6"/>
      <c r="G15" s="6"/>
      <c r="H15" s="1209"/>
      <c r="I15" s="1096"/>
      <c r="J15" s="1097"/>
      <c r="K15" s="6"/>
    </row>
    <row r="16" spans="1:11" ht="45" customHeight="1">
      <c r="A16" s="44">
        <v>13</v>
      </c>
      <c r="B16" s="1229" t="s">
        <v>458</v>
      </c>
      <c r="C16" s="1230"/>
      <c r="D16" s="6"/>
      <c r="E16" s="6"/>
      <c r="F16" s="6"/>
      <c r="G16" s="6"/>
      <c r="H16" s="1209"/>
      <c r="I16" s="1096"/>
      <c r="J16" s="1097"/>
      <c r="K16" s="6"/>
    </row>
    <row r="17" spans="1:11" ht="34.5" customHeight="1">
      <c r="A17" s="43">
        <v>14</v>
      </c>
      <c r="B17" s="1229" t="s">
        <v>459</v>
      </c>
      <c r="C17" s="1230"/>
      <c r="D17" s="6"/>
      <c r="E17" s="6"/>
      <c r="F17" s="6"/>
      <c r="G17" s="6"/>
      <c r="H17" s="1209"/>
      <c r="I17" s="1096"/>
      <c r="J17" s="1097"/>
      <c r="K17" s="6"/>
    </row>
    <row r="18" spans="1:12" ht="60" customHeight="1">
      <c r="A18" s="1231" t="s">
        <v>460</v>
      </c>
      <c r="B18" s="1231"/>
      <c r="C18" s="1231"/>
      <c r="D18" s="1231"/>
      <c r="E18" s="1231"/>
      <c r="F18" s="1231"/>
      <c r="G18" s="1231"/>
      <c r="H18" s="1231"/>
      <c r="I18" s="1231"/>
      <c r="J18" s="1232" t="s">
        <v>137</v>
      </c>
      <c r="K18" s="1232"/>
      <c r="L18" s="982"/>
    </row>
  </sheetData>
  <sheetProtection/>
  <mergeCells count="37">
    <mergeCell ref="B3:C3"/>
    <mergeCell ref="H3:J3"/>
    <mergeCell ref="A1:B1"/>
    <mergeCell ref="C1:H1"/>
    <mergeCell ref="B2:C2"/>
    <mergeCell ref="H2:J2"/>
    <mergeCell ref="I1:K1"/>
    <mergeCell ref="B4:C4"/>
    <mergeCell ref="H4:J4"/>
    <mergeCell ref="B5:C5"/>
    <mergeCell ref="H5:J5"/>
    <mergeCell ref="B6:C6"/>
    <mergeCell ref="H6:J6"/>
    <mergeCell ref="B7:C7"/>
    <mergeCell ref="H7:J7"/>
    <mergeCell ref="B8:C8"/>
    <mergeCell ref="H8:J8"/>
    <mergeCell ref="B9:C9"/>
    <mergeCell ref="H9:J9"/>
    <mergeCell ref="B17:C17"/>
    <mergeCell ref="H17:J17"/>
    <mergeCell ref="B10:C10"/>
    <mergeCell ref="H10:J10"/>
    <mergeCell ref="B11:C11"/>
    <mergeCell ref="H11:J11"/>
    <mergeCell ref="B12:C12"/>
    <mergeCell ref="H12:J12"/>
    <mergeCell ref="J18:K18"/>
    <mergeCell ref="B13:C13"/>
    <mergeCell ref="H13:J13"/>
    <mergeCell ref="B14:C14"/>
    <mergeCell ref="H14:J14"/>
    <mergeCell ref="A18:I18"/>
    <mergeCell ref="B15:C15"/>
    <mergeCell ref="H15:J15"/>
    <mergeCell ref="B16:C16"/>
    <mergeCell ref="H16:J16"/>
  </mergeCells>
  <printOptions/>
  <pageMargins left="0.16" right="0.16" top="0.28" bottom="0.2" header="0.3" footer="0.3"/>
  <pageSetup horizontalDpi="600" verticalDpi="600" orientation="landscape" scale="90" r:id="rId2"/>
  <drawing r:id="rId1"/>
</worksheet>
</file>

<file path=xl/worksheets/sheet69.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F1"/>
    </sheetView>
  </sheetViews>
  <sheetFormatPr defaultColWidth="9.33203125" defaultRowHeight="12.75"/>
  <cols>
    <col min="1" max="1" width="46" style="0" customWidth="1"/>
    <col min="2" max="2" width="35.5" style="0" customWidth="1"/>
    <col min="3" max="3" width="17.5" style="0" customWidth="1"/>
    <col min="4" max="4" width="16" style="0" customWidth="1"/>
    <col min="5" max="5" width="15.83203125" style="0" customWidth="1"/>
    <col min="6" max="6" width="15.16015625" style="0" customWidth="1"/>
    <col min="7" max="8" width="14.66015625" style="0" customWidth="1"/>
    <col min="9" max="9" width="6.83203125" style="0" customWidth="1"/>
  </cols>
  <sheetData>
    <row r="1" spans="1:9" ht="73.5" customHeight="1">
      <c r="A1" s="45" t="s">
        <v>350</v>
      </c>
      <c r="B1" s="1432" t="s">
        <v>461</v>
      </c>
      <c r="C1" s="1432"/>
      <c r="D1" s="1432"/>
      <c r="E1" s="1432"/>
      <c r="F1" s="1432"/>
      <c r="G1" s="1438" t="s">
        <v>462</v>
      </c>
      <c r="H1" s="1438"/>
      <c r="I1" s="1438"/>
    </row>
    <row r="2" spans="1:9" ht="17.25" customHeight="1">
      <c r="A2" s="1439" t="s">
        <v>463</v>
      </c>
      <c r="B2" s="1439"/>
      <c r="C2" s="1439"/>
      <c r="D2" s="1439"/>
      <c r="E2" s="1439"/>
      <c r="F2" s="1439"/>
      <c r="G2" s="1439"/>
      <c r="H2" s="1439"/>
      <c r="I2" s="1439"/>
    </row>
    <row r="3" spans="1:8" ht="34.5" customHeight="1">
      <c r="A3" s="1080" t="s">
        <v>109</v>
      </c>
      <c r="B3" s="1082"/>
      <c r="C3" s="33" t="s">
        <v>111</v>
      </c>
      <c r="D3" s="7" t="s">
        <v>112</v>
      </c>
      <c r="E3" s="7" t="s">
        <v>113</v>
      </c>
      <c r="F3" s="8" t="s">
        <v>114</v>
      </c>
      <c r="G3" s="8" t="s">
        <v>115</v>
      </c>
      <c r="H3" s="8" t="s">
        <v>116</v>
      </c>
    </row>
    <row r="4" spans="1:8" ht="17.25" customHeight="1">
      <c r="A4" s="1076" t="s">
        <v>423</v>
      </c>
      <c r="B4" s="1078"/>
      <c r="C4" s="4"/>
      <c r="D4" s="4"/>
      <c r="E4" s="4"/>
      <c r="F4" s="4"/>
      <c r="G4" s="4"/>
      <c r="H4" s="4"/>
    </row>
    <row r="5" spans="1:8" ht="17.25" customHeight="1">
      <c r="A5" s="1224" t="s">
        <v>464</v>
      </c>
      <c r="B5" s="1225"/>
      <c r="C5" s="4"/>
      <c r="D5" s="4"/>
      <c r="E5" s="4"/>
      <c r="F5" s="4"/>
      <c r="G5" s="4"/>
      <c r="H5" s="4"/>
    </row>
    <row r="6" spans="1:8" ht="17.25" customHeight="1">
      <c r="A6" s="1224" t="s">
        <v>465</v>
      </c>
      <c r="B6" s="1225"/>
      <c r="C6" s="4"/>
      <c r="D6" s="4"/>
      <c r="E6" s="4"/>
      <c r="F6" s="4"/>
      <c r="G6" s="4"/>
      <c r="H6" s="4"/>
    </row>
    <row r="7" spans="1:8" ht="17.25" customHeight="1">
      <c r="A7" s="1224" t="s">
        <v>466</v>
      </c>
      <c r="B7" s="1225"/>
      <c r="C7" s="4"/>
      <c r="D7" s="4"/>
      <c r="E7" s="4"/>
      <c r="F7" s="4"/>
      <c r="G7" s="4"/>
      <c r="H7" s="4"/>
    </row>
    <row r="8" spans="1:8" ht="17.25" customHeight="1">
      <c r="A8" s="1224" t="s">
        <v>467</v>
      </c>
      <c r="B8" s="1225"/>
      <c r="C8" s="4"/>
      <c r="D8" s="4"/>
      <c r="E8" s="4"/>
      <c r="F8" s="4"/>
      <c r="G8" s="4"/>
      <c r="H8" s="4"/>
    </row>
    <row r="9" spans="1:8" ht="17.25" customHeight="1">
      <c r="A9" s="1224" t="s">
        <v>468</v>
      </c>
      <c r="B9" s="1225"/>
      <c r="C9" s="4"/>
      <c r="D9" s="4"/>
      <c r="E9" s="4"/>
      <c r="F9" s="4"/>
      <c r="G9" s="4"/>
      <c r="H9" s="4"/>
    </row>
    <row r="10" spans="1:8" ht="17.25" customHeight="1">
      <c r="A10" s="1224" t="s">
        <v>469</v>
      </c>
      <c r="B10" s="1225"/>
      <c r="C10" s="4"/>
      <c r="D10" s="4"/>
      <c r="E10" s="4"/>
      <c r="F10" s="4"/>
      <c r="G10" s="4"/>
      <c r="H10" s="4"/>
    </row>
    <row r="11" spans="1:8" ht="17.25" customHeight="1">
      <c r="A11" s="1224" t="s">
        <v>470</v>
      </c>
      <c r="B11" s="1225"/>
      <c r="C11" s="4"/>
      <c r="D11" s="4"/>
      <c r="E11" s="4"/>
      <c r="F11" s="4"/>
      <c r="G11" s="4"/>
      <c r="H11" s="4"/>
    </row>
    <row r="12" spans="1:8" ht="17.25" customHeight="1">
      <c r="A12" s="1224" t="s">
        <v>471</v>
      </c>
      <c r="B12" s="1225"/>
      <c r="C12" s="4"/>
      <c r="D12" s="4"/>
      <c r="E12" s="4"/>
      <c r="F12" s="4"/>
      <c r="G12" s="4"/>
      <c r="H12" s="4"/>
    </row>
    <row r="13" spans="1:8" ht="17.25" customHeight="1">
      <c r="A13" s="1224" t="s">
        <v>472</v>
      </c>
      <c r="B13" s="1225"/>
      <c r="C13" s="4"/>
      <c r="D13" s="4"/>
      <c r="E13" s="4"/>
      <c r="F13" s="4"/>
      <c r="G13" s="4"/>
      <c r="H13" s="4"/>
    </row>
    <row r="14" spans="1:8" ht="15.75" customHeight="1">
      <c r="A14" s="1089"/>
      <c r="B14" s="1091"/>
      <c r="C14" s="4"/>
      <c r="D14" s="4"/>
      <c r="E14" s="4"/>
      <c r="F14" s="4"/>
      <c r="G14" s="4"/>
      <c r="H14" s="4"/>
    </row>
    <row r="15" spans="1:8" ht="17.25" customHeight="1">
      <c r="A15" s="1076" t="s">
        <v>424</v>
      </c>
      <c r="B15" s="1078"/>
      <c r="C15" s="4"/>
      <c r="D15" s="4"/>
      <c r="E15" s="4"/>
      <c r="F15" s="4"/>
      <c r="G15" s="4"/>
      <c r="H15" s="4"/>
    </row>
    <row r="16" spans="1:8" ht="17.25" customHeight="1">
      <c r="A16" s="1224" t="s">
        <v>464</v>
      </c>
      <c r="B16" s="1225"/>
      <c r="C16" s="4"/>
      <c r="D16" s="4"/>
      <c r="E16" s="4"/>
      <c r="F16" s="4"/>
      <c r="G16" s="4"/>
      <c r="H16" s="4"/>
    </row>
    <row r="17" spans="1:8" ht="17.25" customHeight="1">
      <c r="A17" s="1224" t="s">
        <v>465</v>
      </c>
      <c r="B17" s="1225"/>
      <c r="C17" s="4"/>
      <c r="D17" s="4"/>
      <c r="E17" s="4"/>
      <c r="F17" s="4"/>
      <c r="G17" s="4"/>
      <c r="H17" s="4"/>
    </row>
    <row r="18" spans="1:8" ht="17.25" customHeight="1">
      <c r="A18" s="1224" t="s">
        <v>466</v>
      </c>
      <c r="B18" s="1225"/>
      <c r="C18" s="4"/>
      <c r="D18" s="4"/>
      <c r="E18" s="4"/>
      <c r="F18" s="4"/>
      <c r="G18" s="4"/>
      <c r="H18" s="4"/>
    </row>
    <row r="19" spans="1:8" ht="17.25" customHeight="1">
      <c r="A19" s="1224" t="s">
        <v>467</v>
      </c>
      <c r="B19" s="1225"/>
      <c r="C19" s="4"/>
      <c r="D19" s="4"/>
      <c r="E19" s="4"/>
      <c r="F19" s="4"/>
      <c r="G19" s="4"/>
      <c r="H19" s="4"/>
    </row>
    <row r="20" spans="1:8" ht="17.25" customHeight="1">
      <c r="A20" s="1224" t="s">
        <v>468</v>
      </c>
      <c r="B20" s="1225"/>
      <c r="C20" s="4"/>
      <c r="D20" s="4"/>
      <c r="E20" s="4"/>
      <c r="F20" s="4"/>
      <c r="G20" s="4"/>
      <c r="H20" s="4"/>
    </row>
    <row r="21" spans="1:8" ht="17.25" customHeight="1">
      <c r="A21" s="1224" t="s">
        <v>469</v>
      </c>
      <c r="B21" s="1225"/>
      <c r="C21" s="4"/>
      <c r="D21" s="4"/>
      <c r="E21" s="4"/>
      <c r="F21" s="4"/>
      <c r="G21" s="4"/>
      <c r="H21" s="4"/>
    </row>
    <row r="22" spans="1:8" ht="17.25" customHeight="1">
      <c r="A22" s="1224" t="s">
        <v>470</v>
      </c>
      <c r="B22" s="1225"/>
      <c r="C22" s="4"/>
      <c r="D22" s="4"/>
      <c r="E22" s="4"/>
      <c r="F22" s="4"/>
      <c r="G22" s="4"/>
      <c r="H22" s="4"/>
    </row>
    <row r="23" spans="1:8" ht="17.25" customHeight="1">
      <c r="A23" s="1224" t="s">
        <v>471</v>
      </c>
      <c r="B23" s="1225"/>
      <c r="C23" s="4"/>
      <c r="D23" s="4"/>
      <c r="E23" s="4"/>
      <c r="F23" s="4"/>
      <c r="G23" s="4"/>
      <c r="H23" s="4"/>
    </row>
    <row r="24" spans="1:8" ht="17.25" customHeight="1">
      <c r="A24" s="1224" t="s">
        <v>472</v>
      </c>
      <c r="B24" s="1225"/>
      <c r="C24" s="4"/>
      <c r="D24" s="4"/>
      <c r="E24" s="4"/>
      <c r="F24" s="4"/>
      <c r="G24" s="4"/>
      <c r="H24" s="4"/>
    </row>
    <row r="25" spans="1:8" ht="15.75" customHeight="1">
      <c r="A25" s="1089"/>
      <c r="B25" s="1091"/>
      <c r="C25" s="4"/>
      <c r="D25" s="4"/>
      <c r="E25" s="4"/>
      <c r="F25" s="4"/>
      <c r="G25" s="4"/>
      <c r="H25" s="4"/>
    </row>
    <row r="26" spans="1:8" ht="17.25" customHeight="1">
      <c r="A26" s="1076" t="s">
        <v>425</v>
      </c>
      <c r="B26" s="1078"/>
      <c r="C26" s="4"/>
      <c r="D26" s="4"/>
      <c r="E26" s="4"/>
      <c r="F26" s="4"/>
      <c r="G26" s="4"/>
      <c r="H26" s="4"/>
    </row>
    <row r="27" spans="1:8" ht="17.25" customHeight="1">
      <c r="A27" s="1224" t="s">
        <v>464</v>
      </c>
      <c r="B27" s="1225"/>
      <c r="C27" s="4"/>
      <c r="D27" s="4"/>
      <c r="E27" s="4"/>
      <c r="F27" s="4"/>
      <c r="G27" s="4"/>
      <c r="H27" s="4"/>
    </row>
    <row r="28" spans="1:8" ht="17.25" customHeight="1">
      <c r="A28" s="1224" t="s">
        <v>465</v>
      </c>
      <c r="B28" s="1225"/>
      <c r="C28" s="4"/>
      <c r="D28" s="4"/>
      <c r="E28" s="4"/>
      <c r="F28" s="4"/>
      <c r="G28" s="4"/>
      <c r="H28" s="4"/>
    </row>
    <row r="29" spans="1:8" ht="17.25" customHeight="1">
      <c r="A29" s="1224" t="s">
        <v>466</v>
      </c>
      <c r="B29" s="1225"/>
      <c r="C29" s="4"/>
      <c r="D29" s="4"/>
      <c r="E29" s="4"/>
      <c r="F29" s="4"/>
      <c r="G29" s="4"/>
      <c r="H29" s="4"/>
    </row>
    <row r="30" spans="1:8" ht="17.25" customHeight="1">
      <c r="A30" s="1224" t="s">
        <v>467</v>
      </c>
      <c r="B30" s="1225"/>
      <c r="C30" s="4"/>
      <c r="D30" s="4"/>
      <c r="E30" s="4"/>
      <c r="F30" s="4"/>
      <c r="G30" s="4"/>
      <c r="H30" s="4"/>
    </row>
    <row r="31" spans="1:8" ht="17.25" customHeight="1">
      <c r="A31" s="1224" t="s">
        <v>468</v>
      </c>
      <c r="B31" s="1225"/>
      <c r="C31" s="4"/>
      <c r="D31" s="4"/>
      <c r="E31" s="4"/>
      <c r="F31" s="4"/>
      <c r="G31" s="4"/>
      <c r="H31" s="4"/>
    </row>
    <row r="32" spans="1:8" ht="17.25" customHeight="1">
      <c r="A32" s="1224" t="s">
        <v>469</v>
      </c>
      <c r="B32" s="1225"/>
      <c r="C32" s="4"/>
      <c r="D32" s="4"/>
      <c r="E32" s="4"/>
      <c r="F32" s="4"/>
      <c r="G32" s="4"/>
      <c r="H32" s="4"/>
    </row>
    <row r="33" spans="1:8" ht="17.25" customHeight="1">
      <c r="A33" s="1224" t="s">
        <v>470</v>
      </c>
      <c r="B33" s="1225"/>
      <c r="C33" s="4"/>
      <c r="D33" s="4"/>
      <c r="E33" s="4"/>
      <c r="F33" s="4"/>
      <c r="G33" s="4"/>
      <c r="H33" s="4"/>
    </row>
    <row r="34" spans="1:8" ht="17.25" customHeight="1">
      <c r="A34" s="1224" t="s">
        <v>471</v>
      </c>
      <c r="B34" s="1225"/>
      <c r="C34" s="4"/>
      <c r="D34" s="4"/>
      <c r="E34" s="4"/>
      <c r="F34" s="4"/>
      <c r="G34" s="4"/>
      <c r="H34" s="4"/>
    </row>
    <row r="35" spans="1:8" ht="17.25" customHeight="1">
      <c r="A35" s="1224" t="s">
        <v>472</v>
      </c>
      <c r="B35" s="1225"/>
      <c r="C35" s="4"/>
      <c r="D35" s="4"/>
      <c r="E35" s="4"/>
      <c r="F35" s="4"/>
      <c r="G35" s="4"/>
      <c r="H35" s="4"/>
    </row>
    <row r="36" spans="1:8" ht="15.75" customHeight="1">
      <c r="A36" s="1089"/>
      <c r="B36" s="1091"/>
      <c r="C36" s="4"/>
      <c r="D36" s="4"/>
      <c r="E36" s="4"/>
      <c r="F36" s="4"/>
      <c r="G36" s="4"/>
      <c r="H36" s="4"/>
    </row>
    <row r="37" spans="1:8" ht="17.25" customHeight="1">
      <c r="A37" s="1076" t="s">
        <v>473</v>
      </c>
      <c r="B37" s="1078"/>
      <c r="C37" s="4"/>
      <c r="D37" s="4"/>
      <c r="E37" s="4"/>
      <c r="F37" s="4"/>
      <c r="G37" s="4"/>
      <c r="H37" s="4"/>
    </row>
    <row r="38" spans="1:8" ht="17.25" customHeight="1">
      <c r="A38" s="1224" t="s">
        <v>464</v>
      </c>
      <c r="B38" s="1225"/>
      <c r="C38" s="4"/>
      <c r="D38" s="4"/>
      <c r="E38" s="4"/>
      <c r="F38" s="4"/>
      <c r="G38" s="4"/>
      <c r="H38" s="4"/>
    </row>
    <row r="39" spans="1:8" ht="17.25" customHeight="1">
      <c r="A39" s="1224" t="s">
        <v>465</v>
      </c>
      <c r="B39" s="1225"/>
      <c r="C39" s="4"/>
      <c r="D39" s="4"/>
      <c r="E39" s="4"/>
      <c r="F39" s="4"/>
      <c r="G39" s="4"/>
      <c r="H39" s="4"/>
    </row>
    <row r="40" spans="1:8" ht="17.25" customHeight="1">
      <c r="A40" s="1224" t="s">
        <v>466</v>
      </c>
      <c r="B40" s="1225"/>
      <c r="C40" s="4"/>
      <c r="D40" s="4"/>
      <c r="E40" s="4"/>
      <c r="F40" s="4"/>
      <c r="G40" s="4"/>
      <c r="H40" s="4"/>
    </row>
    <row r="41" spans="1:8" ht="17.25" customHeight="1">
      <c r="A41" s="1224" t="s">
        <v>467</v>
      </c>
      <c r="B41" s="1225"/>
      <c r="C41" s="4"/>
      <c r="D41" s="4"/>
      <c r="E41" s="4"/>
      <c r="F41" s="4"/>
      <c r="G41" s="4"/>
      <c r="H41" s="4"/>
    </row>
    <row r="42" spans="1:8" ht="17.25" customHeight="1">
      <c r="A42" s="1224" t="s">
        <v>468</v>
      </c>
      <c r="B42" s="1225"/>
      <c r="C42" s="4"/>
      <c r="D42" s="4"/>
      <c r="E42" s="4"/>
      <c r="F42" s="4"/>
      <c r="G42" s="4"/>
      <c r="H42" s="4"/>
    </row>
    <row r="43" spans="1:8" ht="17.25" customHeight="1">
      <c r="A43" s="1224" t="s">
        <v>469</v>
      </c>
      <c r="B43" s="1225"/>
      <c r="C43" s="4"/>
      <c r="D43" s="4"/>
      <c r="E43" s="4"/>
      <c r="F43" s="4"/>
      <c r="G43" s="4"/>
      <c r="H43" s="4"/>
    </row>
    <row r="44" spans="1:8" ht="17.25" customHeight="1">
      <c r="A44" s="1224" t="s">
        <v>470</v>
      </c>
      <c r="B44" s="1225"/>
      <c r="C44" s="4"/>
      <c r="D44" s="4"/>
      <c r="E44" s="4"/>
      <c r="F44" s="4"/>
      <c r="G44" s="4"/>
      <c r="H44" s="4"/>
    </row>
    <row r="45" spans="1:8" ht="17.25" customHeight="1">
      <c r="A45" s="1224" t="s">
        <v>472</v>
      </c>
      <c r="B45" s="1225"/>
      <c r="C45" s="4"/>
      <c r="D45" s="4"/>
      <c r="E45" s="4"/>
      <c r="F45" s="4"/>
      <c r="G45" s="4"/>
      <c r="H45" s="4"/>
    </row>
    <row r="46" spans="1:8" ht="17.25" customHeight="1">
      <c r="A46" s="1076" t="s">
        <v>474</v>
      </c>
      <c r="B46" s="1078"/>
      <c r="C46" s="4"/>
      <c r="D46" s="4"/>
      <c r="E46" s="4"/>
      <c r="F46" s="4"/>
      <c r="G46" s="4"/>
      <c r="H46" s="4"/>
    </row>
    <row r="47" spans="1:9" ht="48" customHeight="1">
      <c r="A47" s="1436" t="s">
        <v>475</v>
      </c>
      <c r="B47" s="1436"/>
      <c r="C47" s="1436"/>
      <c r="D47" s="1436"/>
      <c r="E47" s="1436"/>
      <c r="F47" s="1436"/>
      <c r="G47" s="1436"/>
      <c r="H47" s="1436"/>
      <c r="I47" s="1436"/>
    </row>
    <row r="48" spans="1:9" ht="17.25" customHeight="1">
      <c r="A48" s="1437" t="s">
        <v>137</v>
      </c>
      <c r="B48" s="1437"/>
      <c r="C48" s="1437"/>
      <c r="D48" s="1437"/>
      <c r="E48" s="1437"/>
      <c r="F48" s="1437"/>
      <c r="G48" s="1437"/>
      <c r="H48" s="1437"/>
      <c r="I48" s="1437"/>
    </row>
  </sheetData>
  <sheetProtection/>
  <mergeCells count="49">
    <mergeCell ref="B1:F1"/>
    <mergeCell ref="G1:I1"/>
    <mergeCell ref="A2:I2"/>
    <mergeCell ref="A3:B3"/>
    <mergeCell ref="A4:B4"/>
    <mergeCell ref="A5:B5"/>
    <mergeCell ref="A18:B18"/>
    <mergeCell ref="A17:B17"/>
    <mergeCell ref="A6:B6"/>
    <mergeCell ref="A7:B7"/>
    <mergeCell ref="A8:B8"/>
    <mergeCell ref="A19:B19"/>
    <mergeCell ref="A9:B9"/>
    <mergeCell ref="A10:B10"/>
    <mergeCell ref="A29:B29"/>
    <mergeCell ref="A20:B20"/>
    <mergeCell ref="A21:B21"/>
    <mergeCell ref="A22:B22"/>
    <mergeCell ref="A11:B11"/>
    <mergeCell ref="A12:B12"/>
    <mergeCell ref="A13:B13"/>
    <mergeCell ref="A14:B14"/>
    <mergeCell ref="A15:B15"/>
    <mergeCell ref="A16:B16"/>
    <mergeCell ref="A23:B23"/>
    <mergeCell ref="A24:B24"/>
    <mergeCell ref="A25:B25"/>
    <mergeCell ref="A26:B26"/>
    <mergeCell ref="A27:B27"/>
    <mergeCell ref="A28:B28"/>
    <mergeCell ref="A36:B36"/>
    <mergeCell ref="A37:B37"/>
    <mergeCell ref="A38:B38"/>
    <mergeCell ref="A39:B39"/>
    <mergeCell ref="A30:B30"/>
    <mergeCell ref="A31:B31"/>
    <mergeCell ref="A32:B32"/>
    <mergeCell ref="A33:B33"/>
    <mergeCell ref="A34:B34"/>
    <mergeCell ref="A45:B45"/>
    <mergeCell ref="A35:B35"/>
    <mergeCell ref="A47:I47"/>
    <mergeCell ref="A48:I48"/>
    <mergeCell ref="A40:B40"/>
    <mergeCell ref="A41:B41"/>
    <mergeCell ref="A42:B42"/>
    <mergeCell ref="A43:B43"/>
    <mergeCell ref="A44:B44"/>
    <mergeCell ref="A46:B4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4:G24"/>
  <sheetViews>
    <sheetView view="pageBreakPreview" zoomScaleSheetLayoutView="100" zoomScalePageLayoutView="0" workbookViewId="0" topLeftCell="A1">
      <selection activeCell="A3" sqref="A3:G24"/>
    </sheetView>
  </sheetViews>
  <sheetFormatPr defaultColWidth="9.33203125" defaultRowHeight="12.75"/>
  <cols>
    <col min="1" max="1" width="9.33203125" style="90" customWidth="1"/>
    <col min="2" max="2" width="7.33203125" style="90" customWidth="1"/>
    <col min="3" max="3" width="37" style="90" customWidth="1"/>
    <col min="4" max="4" width="9" style="90" customWidth="1"/>
    <col min="5" max="5" width="9.83203125" style="90" customWidth="1"/>
    <col min="6" max="6" width="14.66015625" style="90" customWidth="1"/>
    <col min="7" max="7" width="19.16015625" style="90" customWidth="1"/>
    <col min="8" max="8" width="7.33203125" style="90" customWidth="1"/>
    <col min="9" max="16384" width="9.33203125" style="90" customWidth="1"/>
  </cols>
  <sheetData>
    <row r="4" ht="12.75">
      <c r="G4" s="198" t="s">
        <v>1995</v>
      </c>
    </row>
    <row r="5" spans="3:4" ht="12.75">
      <c r="C5" s="198" t="s">
        <v>1493</v>
      </c>
      <c r="D5" s="198" t="s">
        <v>1404</v>
      </c>
    </row>
    <row r="6" s="198" customFormat="1" ht="12.75">
      <c r="C6" s="198" t="s">
        <v>1996</v>
      </c>
    </row>
    <row r="7" s="198" customFormat="1" ht="12.75">
      <c r="C7" s="198" t="s">
        <v>2028</v>
      </c>
    </row>
    <row r="8" s="198" customFormat="1" ht="12.75">
      <c r="C8" s="198" t="s">
        <v>1997</v>
      </c>
    </row>
    <row r="9" s="198" customFormat="1" ht="12.75"/>
    <row r="11" spans="2:7" s="198" customFormat="1" ht="12.75">
      <c r="B11" s="198" t="s">
        <v>1400</v>
      </c>
      <c r="C11" s="330" t="s">
        <v>1355</v>
      </c>
      <c r="D11" s="330"/>
      <c r="E11" s="330"/>
      <c r="F11" s="330" t="s">
        <v>1998</v>
      </c>
      <c r="G11" s="330" t="s">
        <v>1462</v>
      </c>
    </row>
    <row r="12" spans="3:7" s="198" customFormat="1" ht="12.75">
      <c r="C12" s="330"/>
      <c r="D12" s="330"/>
      <c r="E12" s="330"/>
      <c r="F12" s="330" t="s">
        <v>1358</v>
      </c>
      <c r="G12" s="330" t="s">
        <v>1357</v>
      </c>
    </row>
    <row r="13" spans="3:7" s="198" customFormat="1" ht="12.75">
      <c r="C13" s="330"/>
      <c r="D13" s="330"/>
      <c r="E13" s="330"/>
      <c r="F13" s="330" t="s">
        <v>1999</v>
      </c>
      <c r="G13" s="330" t="s">
        <v>2000</v>
      </c>
    </row>
    <row r="14" spans="3:7" s="198" customFormat="1" ht="12.75">
      <c r="C14" s="330"/>
      <c r="D14" s="330"/>
      <c r="E14" s="330"/>
      <c r="F14" s="330" t="s">
        <v>2001</v>
      </c>
      <c r="G14" s="330" t="s">
        <v>1605</v>
      </c>
    </row>
    <row r="15" spans="2:7" s="198" customFormat="1" ht="12.75">
      <c r="B15" s="201">
        <v>1</v>
      </c>
      <c r="C15" s="286" t="s">
        <v>2002</v>
      </c>
      <c r="D15" s="330"/>
      <c r="E15" s="330"/>
      <c r="F15" s="330"/>
      <c r="G15" s="330"/>
    </row>
    <row r="16" spans="2:7" ht="45" customHeight="1">
      <c r="B16" s="201">
        <v>2</v>
      </c>
      <c r="C16" s="250" t="s">
        <v>2003</v>
      </c>
      <c r="D16" s="225"/>
      <c r="E16" s="225"/>
      <c r="F16" s="225"/>
      <c r="G16" s="225"/>
    </row>
    <row r="17" spans="2:7" ht="12.75">
      <c r="B17" s="201">
        <v>3</v>
      </c>
      <c r="C17" s="250" t="s">
        <v>2004</v>
      </c>
      <c r="D17" s="225"/>
      <c r="E17" s="225"/>
      <c r="F17" s="225"/>
      <c r="G17" s="225"/>
    </row>
    <row r="18" spans="2:7" ht="17.25" customHeight="1">
      <c r="B18" s="201">
        <v>4</v>
      </c>
      <c r="C18" s="250" t="s">
        <v>2005</v>
      </c>
      <c r="D18" s="225"/>
      <c r="E18" s="1138" t="s">
        <v>1510</v>
      </c>
      <c r="F18" s="1139"/>
      <c r="G18" s="225"/>
    </row>
    <row r="19" spans="2:7" ht="12.75">
      <c r="B19" s="201"/>
      <c r="C19" s="250" t="s">
        <v>1459</v>
      </c>
      <c r="D19" s="225"/>
      <c r="E19" s="1140"/>
      <c r="F19" s="1141"/>
      <c r="G19" s="225"/>
    </row>
    <row r="20" spans="2:7" ht="38.25">
      <c r="B20" s="201">
        <v>5</v>
      </c>
      <c r="C20" s="250" t="s">
        <v>2006</v>
      </c>
      <c r="D20" s="225"/>
      <c r="E20" s="1142"/>
      <c r="F20" s="1143"/>
      <c r="G20" s="225"/>
    </row>
    <row r="21" spans="2:7" ht="20.25" customHeight="1">
      <c r="B21" s="201">
        <v>6</v>
      </c>
      <c r="C21" s="250" t="s">
        <v>2007</v>
      </c>
      <c r="D21" s="225"/>
      <c r="E21" s="225"/>
      <c r="F21" s="225"/>
      <c r="G21" s="225"/>
    </row>
    <row r="22" spans="2:7" ht="12.75">
      <c r="B22" s="201"/>
      <c r="C22" s="250" t="s">
        <v>1457</v>
      </c>
      <c r="D22" s="225"/>
      <c r="E22" s="225"/>
      <c r="F22" s="225"/>
      <c r="G22" s="225"/>
    </row>
    <row r="23" spans="2:7" ht="25.5">
      <c r="B23" s="201">
        <v>7</v>
      </c>
      <c r="C23" s="250" t="s">
        <v>2008</v>
      </c>
      <c r="D23" s="225"/>
      <c r="E23" s="225"/>
      <c r="F23" s="225"/>
      <c r="G23" s="225"/>
    </row>
    <row r="24" spans="3:7" ht="12.75">
      <c r="C24" s="225"/>
      <c r="D24" s="225"/>
      <c r="E24" s="225"/>
      <c r="F24" s="225"/>
      <c r="G24" s="225"/>
    </row>
  </sheetData>
  <sheetProtection/>
  <mergeCells count="1">
    <mergeCell ref="E18:F20"/>
  </mergeCells>
  <printOptions/>
  <pageMargins left="0.75" right="0.35" top="1" bottom="1" header="0.5" footer="0.5"/>
  <pageSetup horizontalDpi="600" verticalDpi="600" orientation="portrait" scale="98" r:id="rId1"/>
</worksheet>
</file>

<file path=xl/worksheets/sheet70.xml><?xml version="1.0" encoding="utf-8"?>
<worksheet xmlns="http://schemas.openxmlformats.org/spreadsheetml/2006/main" xmlns:r="http://schemas.openxmlformats.org/officeDocument/2006/relationships">
  <dimension ref="A1:N80"/>
  <sheetViews>
    <sheetView zoomScalePageLayoutView="0" workbookViewId="0" topLeftCell="A1">
      <selection activeCell="A1" sqref="A1:K1"/>
    </sheetView>
  </sheetViews>
  <sheetFormatPr defaultColWidth="9.33203125" defaultRowHeight="12.75"/>
  <cols>
    <col min="1" max="1" width="9.83203125" style="0" customWidth="1"/>
    <col min="2" max="2" width="25.83203125" style="0" customWidth="1"/>
    <col min="3" max="3" width="10.16015625" style="0" customWidth="1"/>
    <col min="4" max="4" width="4" style="0" customWidth="1"/>
    <col min="5" max="5" width="16.83203125" style="0" customWidth="1"/>
    <col min="6" max="6" width="14.5" style="0" customWidth="1"/>
    <col min="7" max="7" width="15.83203125" style="0" customWidth="1"/>
    <col min="8" max="8" width="17.16015625" style="0" customWidth="1"/>
    <col min="9" max="9" width="14.16015625" style="0" customWidth="1"/>
    <col min="10" max="10" width="15.83203125" style="0" customWidth="1"/>
    <col min="11" max="11" width="1.83203125" style="0" customWidth="1"/>
    <col min="12" max="13" width="15.33203125" style="0" customWidth="1"/>
    <col min="14" max="14" width="5.5" style="0" customWidth="1"/>
  </cols>
  <sheetData>
    <row r="1" spans="1:14" ht="73.5" customHeight="1">
      <c r="A1" s="1440" t="s">
        <v>350</v>
      </c>
      <c r="B1" s="1440"/>
      <c r="C1" s="1440"/>
      <c r="D1" s="1441" t="s">
        <v>476</v>
      </c>
      <c r="E1" s="1441"/>
      <c r="F1" s="1441"/>
      <c r="G1" s="1441"/>
      <c r="H1" s="1441"/>
      <c r="I1" s="1441"/>
      <c r="J1" s="1441"/>
      <c r="K1" s="1441"/>
      <c r="L1" s="1438" t="s">
        <v>477</v>
      </c>
      <c r="M1" s="1438"/>
      <c r="N1" s="1438"/>
    </row>
    <row r="2" spans="1:13" ht="17.25" customHeight="1">
      <c r="A2" s="1442" t="s">
        <v>92</v>
      </c>
      <c r="B2" s="32" t="s">
        <v>478</v>
      </c>
      <c r="C2" s="1080" t="s">
        <v>479</v>
      </c>
      <c r="D2" s="1081"/>
      <c r="E2" s="1081"/>
      <c r="F2" s="1082"/>
      <c r="G2" s="1080" t="s">
        <v>480</v>
      </c>
      <c r="H2" s="1081"/>
      <c r="I2" s="1082"/>
      <c r="J2" s="1444" t="s">
        <v>481</v>
      </c>
      <c r="K2" s="1445"/>
      <c r="L2" s="1445"/>
      <c r="M2" s="1446"/>
    </row>
    <row r="3" spans="1:13" ht="57.75" customHeight="1">
      <c r="A3" s="1443"/>
      <c r="B3" s="47" t="s">
        <v>109</v>
      </c>
      <c r="C3" s="1076" t="s">
        <v>482</v>
      </c>
      <c r="D3" s="1078"/>
      <c r="E3" s="27" t="s">
        <v>483</v>
      </c>
      <c r="F3" s="5" t="s">
        <v>484</v>
      </c>
      <c r="G3" s="1" t="s">
        <v>482</v>
      </c>
      <c r="H3" s="27" t="s">
        <v>483</v>
      </c>
      <c r="I3" s="5" t="s">
        <v>484</v>
      </c>
      <c r="J3" s="1" t="s">
        <v>482</v>
      </c>
      <c r="K3" s="1447" t="s">
        <v>483</v>
      </c>
      <c r="L3" s="1448"/>
      <c r="M3" s="27" t="s">
        <v>484</v>
      </c>
    </row>
    <row r="4" spans="1:13" ht="17.25" customHeight="1">
      <c r="A4" s="11">
        <v>1</v>
      </c>
      <c r="B4" s="1" t="s">
        <v>485</v>
      </c>
      <c r="C4" s="1089"/>
      <c r="D4" s="1091"/>
      <c r="E4" s="4"/>
      <c r="F4" s="4"/>
      <c r="G4" s="4"/>
      <c r="H4" s="4"/>
      <c r="I4" s="4"/>
      <c r="J4" s="4"/>
      <c r="K4" s="1089"/>
      <c r="L4" s="1091"/>
      <c r="M4" s="4"/>
    </row>
    <row r="5" spans="1:13" ht="17.25" customHeight="1">
      <c r="A5" s="12">
        <v>1.1</v>
      </c>
      <c r="B5" s="1" t="s">
        <v>486</v>
      </c>
      <c r="C5" s="1089"/>
      <c r="D5" s="1091"/>
      <c r="E5" s="4"/>
      <c r="F5" s="4"/>
      <c r="G5" s="4"/>
      <c r="H5" s="4"/>
      <c r="I5" s="4"/>
      <c r="J5" s="4"/>
      <c r="K5" s="1089"/>
      <c r="L5" s="1091"/>
      <c r="M5" s="4"/>
    </row>
    <row r="6" spans="1:13" ht="15.75" customHeight="1">
      <c r="A6" s="4"/>
      <c r="B6" s="4"/>
      <c r="C6" s="1089"/>
      <c r="D6" s="1091"/>
      <c r="E6" s="4"/>
      <c r="F6" s="4"/>
      <c r="G6" s="4"/>
      <c r="H6" s="4"/>
      <c r="I6" s="4"/>
      <c r="J6" s="4"/>
      <c r="K6" s="1089"/>
      <c r="L6" s="1091"/>
      <c r="M6" s="4"/>
    </row>
    <row r="7" spans="1:13" ht="17.25" customHeight="1">
      <c r="A7" s="13" t="s">
        <v>487</v>
      </c>
      <c r="B7" s="5" t="s">
        <v>488</v>
      </c>
      <c r="C7" s="1089"/>
      <c r="D7" s="1091"/>
      <c r="E7" s="4"/>
      <c r="F7" s="4"/>
      <c r="G7" s="4"/>
      <c r="H7" s="4"/>
      <c r="I7" s="4"/>
      <c r="J7" s="4"/>
      <c r="K7" s="1089"/>
      <c r="L7" s="1091"/>
      <c r="M7" s="4"/>
    </row>
    <row r="8" spans="1:13" ht="34.5" customHeight="1">
      <c r="A8" s="6"/>
      <c r="B8" s="5" t="s">
        <v>489</v>
      </c>
      <c r="C8" s="1209"/>
      <c r="D8" s="1097"/>
      <c r="E8" s="6"/>
      <c r="F8" s="6"/>
      <c r="G8" s="6"/>
      <c r="H8" s="6"/>
      <c r="I8" s="6"/>
      <c r="J8" s="6"/>
      <c r="K8" s="1209"/>
      <c r="L8" s="1097"/>
      <c r="M8" s="6"/>
    </row>
    <row r="9" spans="1:13" ht="17.25" customHeight="1">
      <c r="A9" s="4"/>
      <c r="B9" s="3" t="s">
        <v>490</v>
      </c>
      <c r="C9" s="1089"/>
      <c r="D9" s="1091"/>
      <c r="E9" s="4"/>
      <c r="F9" s="4"/>
      <c r="G9" s="4"/>
      <c r="H9" s="4"/>
      <c r="I9" s="4"/>
      <c r="J9" s="4"/>
      <c r="K9" s="1089"/>
      <c r="L9" s="1091"/>
      <c r="M9" s="4"/>
    </row>
    <row r="10" spans="1:13" ht="17.25" customHeight="1">
      <c r="A10" s="4"/>
      <c r="B10" s="3" t="s">
        <v>491</v>
      </c>
      <c r="C10" s="1089"/>
      <c r="D10" s="1091"/>
      <c r="E10" s="4"/>
      <c r="F10" s="4"/>
      <c r="G10" s="4"/>
      <c r="H10" s="4"/>
      <c r="I10" s="4"/>
      <c r="J10" s="4"/>
      <c r="K10" s="1089"/>
      <c r="L10" s="1091"/>
      <c r="M10" s="4"/>
    </row>
    <row r="11" spans="1:13" ht="34.5" customHeight="1">
      <c r="A11" s="6"/>
      <c r="B11" s="5" t="s">
        <v>492</v>
      </c>
      <c r="C11" s="1209"/>
      <c r="D11" s="1097"/>
      <c r="E11" s="6"/>
      <c r="F11" s="6"/>
      <c r="G11" s="6"/>
      <c r="H11" s="6"/>
      <c r="I11" s="6"/>
      <c r="J11" s="6"/>
      <c r="K11" s="1209"/>
      <c r="L11" s="1097"/>
      <c r="M11" s="6"/>
    </row>
    <row r="12" spans="1:13" ht="17.25" customHeight="1">
      <c r="A12" s="4"/>
      <c r="B12" s="3" t="s">
        <v>493</v>
      </c>
      <c r="C12" s="1089"/>
      <c r="D12" s="1091"/>
      <c r="E12" s="4"/>
      <c r="F12" s="4"/>
      <c r="G12" s="4"/>
      <c r="H12" s="4"/>
      <c r="I12" s="4"/>
      <c r="J12" s="4"/>
      <c r="K12" s="1089"/>
      <c r="L12" s="1091"/>
      <c r="M12" s="4"/>
    </row>
    <row r="13" spans="1:13" ht="15.75" customHeight="1">
      <c r="A13" s="4"/>
      <c r="B13" s="4"/>
      <c r="C13" s="1089"/>
      <c r="D13" s="1091"/>
      <c r="E13" s="4"/>
      <c r="F13" s="4"/>
      <c r="G13" s="4"/>
      <c r="H13" s="4"/>
      <c r="I13" s="4"/>
      <c r="J13" s="4"/>
      <c r="K13" s="1089"/>
      <c r="L13" s="1091"/>
      <c r="M13" s="4"/>
    </row>
    <row r="14" spans="1:13" ht="17.25" customHeight="1">
      <c r="A14" s="13" t="s">
        <v>494</v>
      </c>
      <c r="B14" s="5" t="s">
        <v>495</v>
      </c>
      <c r="C14" s="1089"/>
      <c r="D14" s="1091"/>
      <c r="E14" s="4"/>
      <c r="F14" s="4"/>
      <c r="G14" s="4"/>
      <c r="H14" s="4"/>
      <c r="I14" s="4"/>
      <c r="J14" s="4"/>
      <c r="K14" s="1089"/>
      <c r="L14" s="1091"/>
      <c r="M14" s="4"/>
    </row>
    <row r="15" spans="1:13" ht="34.5" customHeight="1">
      <c r="A15" s="6"/>
      <c r="B15" s="5" t="s">
        <v>489</v>
      </c>
      <c r="C15" s="1209"/>
      <c r="D15" s="1097"/>
      <c r="E15" s="6"/>
      <c r="F15" s="6"/>
      <c r="G15" s="6"/>
      <c r="H15" s="6"/>
      <c r="I15" s="6"/>
      <c r="J15" s="6"/>
      <c r="K15" s="1209"/>
      <c r="L15" s="1097"/>
      <c r="M15" s="6"/>
    </row>
    <row r="16" spans="1:13" ht="17.25" customHeight="1">
      <c r="A16" s="4"/>
      <c r="B16" s="3" t="s">
        <v>490</v>
      </c>
      <c r="C16" s="1089"/>
      <c r="D16" s="1091"/>
      <c r="E16" s="4"/>
      <c r="F16" s="4"/>
      <c r="G16" s="4"/>
      <c r="H16" s="4"/>
      <c r="I16" s="4"/>
      <c r="J16" s="4"/>
      <c r="K16" s="1089"/>
      <c r="L16" s="1091"/>
      <c r="M16" s="4"/>
    </row>
    <row r="17" spans="1:13" ht="17.25" customHeight="1">
      <c r="A17" s="4"/>
      <c r="B17" s="3" t="s">
        <v>491</v>
      </c>
      <c r="C17" s="1089"/>
      <c r="D17" s="1091"/>
      <c r="E17" s="4"/>
      <c r="F17" s="4"/>
      <c r="G17" s="4"/>
      <c r="H17" s="4"/>
      <c r="I17" s="4"/>
      <c r="J17" s="4"/>
      <c r="K17" s="1089"/>
      <c r="L17" s="1091"/>
      <c r="M17" s="4"/>
    </row>
    <row r="18" spans="1:13" ht="34.5" customHeight="1">
      <c r="A18" s="6"/>
      <c r="B18" s="5" t="s">
        <v>492</v>
      </c>
      <c r="C18" s="1209"/>
      <c r="D18" s="1097"/>
      <c r="E18" s="6"/>
      <c r="F18" s="6"/>
      <c r="G18" s="6"/>
      <c r="H18" s="6"/>
      <c r="I18" s="6"/>
      <c r="J18" s="6"/>
      <c r="K18" s="1209"/>
      <c r="L18" s="1097"/>
      <c r="M18" s="6"/>
    </row>
    <row r="19" spans="1:13" ht="17.25" customHeight="1">
      <c r="A19" s="4"/>
      <c r="B19" s="3" t="s">
        <v>493</v>
      </c>
      <c r="C19" s="1089"/>
      <c r="D19" s="1091"/>
      <c r="E19" s="4"/>
      <c r="F19" s="4"/>
      <c r="G19" s="4"/>
      <c r="H19" s="4"/>
      <c r="I19" s="4"/>
      <c r="J19" s="4"/>
      <c r="K19" s="1089"/>
      <c r="L19" s="1091"/>
      <c r="M19" s="4"/>
    </row>
    <row r="20" spans="1:13" ht="15.75" customHeight="1">
      <c r="A20" s="4"/>
      <c r="B20" s="4"/>
      <c r="C20" s="1089"/>
      <c r="D20" s="1091"/>
      <c r="E20" s="4"/>
      <c r="F20" s="4"/>
      <c r="G20" s="4"/>
      <c r="H20" s="4"/>
      <c r="I20" s="4"/>
      <c r="J20" s="4"/>
      <c r="K20" s="1089"/>
      <c r="L20" s="1091"/>
      <c r="M20" s="4"/>
    </row>
    <row r="21" spans="1:13" ht="17.25" customHeight="1">
      <c r="A21" s="13" t="s">
        <v>496</v>
      </c>
      <c r="B21" s="5" t="s">
        <v>497</v>
      </c>
      <c r="C21" s="1089"/>
      <c r="D21" s="1091"/>
      <c r="E21" s="4"/>
      <c r="F21" s="4"/>
      <c r="G21" s="4"/>
      <c r="H21" s="4"/>
      <c r="I21" s="4"/>
      <c r="J21" s="4"/>
      <c r="K21" s="1089"/>
      <c r="L21" s="1091"/>
      <c r="M21" s="4"/>
    </row>
    <row r="22" spans="1:13" ht="34.5" customHeight="1">
      <c r="A22" s="6"/>
      <c r="B22" s="5" t="s">
        <v>489</v>
      </c>
      <c r="C22" s="1209"/>
      <c r="D22" s="1097"/>
      <c r="E22" s="6"/>
      <c r="F22" s="6"/>
      <c r="G22" s="6"/>
      <c r="H22" s="6"/>
      <c r="I22" s="6"/>
      <c r="J22" s="6"/>
      <c r="K22" s="1209"/>
      <c r="L22" s="1097"/>
      <c r="M22" s="6"/>
    </row>
    <row r="23" spans="1:13" ht="17.25" customHeight="1">
      <c r="A23" s="4"/>
      <c r="B23" s="3" t="s">
        <v>490</v>
      </c>
      <c r="C23" s="1089"/>
      <c r="D23" s="1091"/>
      <c r="E23" s="4"/>
      <c r="F23" s="4"/>
      <c r="G23" s="4"/>
      <c r="H23" s="4"/>
      <c r="I23" s="4"/>
      <c r="J23" s="4"/>
      <c r="K23" s="1089"/>
      <c r="L23" s="1091"/>
      <c r="M23" s="4"/>
    </row>
    <row r="24" spans="1:13" ht="17.25" customHeight="1">
      <c r="A24" s="4"/>
      <c r="B24" s="3" t="s">
        <v>491</v>
      </c>
      <c r="C24" s="1089"/>
      <c r="D24" s="1091"/>
      <c r="E24" s="4"/>
      <c r="F24" s="4"/>
      <c r="G24" s="4"/>
      <c r="H24" s="4"/>
      <c r="I24" s="4"/>
      <c r="J24" s="4"/>
      <c r="K24" s="1089"/>
      <c r="L24" s="1091"/>
      <c r="M24" s="4"/>
    </row>
    <row r="25" spans="1:13" ht="34.5" customHeight="1">
      <c r="A25" s="6"/>
      <c r="B25" s="5" t="s">
        <v>492</v>
      </c>
      <c r="C25" s="1209"/>
      <c r="D25" s="1097"/>
      <c r="E25" s="6"/>
      <c r="F25" s="6"/>
      <c r="G25" s="6"/>
      <c r="H25" s="6"/>
      <c r="I25" s="6"/>
      <c r="J25" s="6"/>
      <c r="K25" s="1209"/>
      <c r="L25" s="1097"/>
      <c r="M25" s="6"/>
    </row>
    <row r="26" spans="1:13" ht="17.25" customHeight="1">
      <c r="A26" s="4"/>
      <c r="B26" s="3" t="s">
        <v>493</v>
      </c>
      <c r="C26" s="1089"/>
      <c r="D26" s="1091"/>
      <c r="E26" s="4"/>
      <c r="F26" s="4"/>
      <c r="G26" s="4"/>
      <c r="H26" s="4"/>
      <c r="I26" s="4"/>
      <c r="J26" s="4"/>
      <c r="K26" s="1089"/>
      <c r="L26" s="1091"/>
      <c r="M26" s="4"/>
    </row>
    <row r="27" spans="1:13" ht="15.75" customHeight="1">
      <c r="A27" s="4"/>
      <c r="B27" s="4"/>
      <c r="C27" s="1089"/>
      <c r="D27" s="1091"/>
      <c r="E27" s="4"/>
      <c r="F27" s="4"/>
      <c r="G27" s="4"/>
      <c r="H27" s="4"/>
      <c r="I27" s="4"/>
      <c r="J27" s="4"/>
      <c r="K27" s="1089"/>
      <c r="L27" s="1091"/>
      <c r="M27" s="4"/>
    </row>
    <row r="28" spans="1:13" ht="17.25" customHeight="1">
      <c r="A28" s="13" t="s">
        <v>498</v>
      </c>
      <c r="B28" s="3" t="s">
        <v>499</v>
      </c>
      <c r="C28" s="1089"/>
      <c r="D28" s="1091"/>
      <c r="E28" s="4"/>
      <c r="F28" s="4"/>
      <c r="G28" s="4"/>
      <c r="H28" s="4"/>
      <c r="I28" s="4"/>
      <c r="J28" s="4"/>
      <c r="K28" s="1089"/>
      <c r="L28" s="1091"/>
      <c r="M28" s="4"/>
    </row>
    <row r="29" spans="1:13" ht="17.25" customHeight="1">
      <c r="A29" s="4"/>
      <c r="B29" s="3" t="s">
        <v>499</v>
      </c>
      <c r="C29" s="1089"/>
      <c r="D29" s="1091"/>
      <c r="E29" s="4"/>
      <c r="F29" s="4"/>
      <c r="G29" s="4"/>
      <c r="H29" s="4"/>
      <c r="I29" s="4"/>
      <c r="J29" s="4"/>
      <c r="K29" s="1089"/>
      <c r="L29" s="1091"/>
      <c r="M29" s="4"/>
    </row>
    <row r="30" spans="1:13" ht="17.25" customHeight="1">
      <c r="A30" s="4"/>
      <c r="B30" s="3" t="s">
        <v>499</v>
      </c>
      <c r="C30" s="1089"/>
      <c r="D30" s="1091"/>
      <c r="E30" s="4"/>
      <c r="F30" s="4"/>
      <c r="G30" s="4"/>
      <c r="H30" s="4"/>
      <c r="I30" s="4"/>
      <c r="J30" s="4"/>
      <c r="K30" s="1089"/>
      <c r="L30" s="1091"/>
      <c r="M30" s="4"/>
    </row>
    <row r="31" spans="1:13" ht="15.75" customHeight="1">
      <c r="A31" s="4"/>
      <c r="B31" s="4"/>
      <c r="C31" s="1089"/>
      <c r="D31" s="1091"/>
      <c r="E31" s="4"/>
      <c r="F31" s="4"/>
      <c r="G31" s="4"/>
      <c r="H31" s="4"/>
      <c r="I31" s="4"/>
      <c r="J31" s="4"/>
      <c r="K31" s="1089"/>
      <c r="L31" s="1091"/>
      <c r="M31" s="4"/>
    </row>
    <row r="32" spans="1:13" ht="15.75" customHeight="1">
      <c r="A32" s="4"/>
      <c r="B32" s="4"/>
      <c r="C32" s="1089"/>
      <c r="D32" s="1091"/>
      <c r="E32" s="4"/>
      <c r="F32" s="4"/>
      <c r="G32" s="4"/>
      <c r="H32" s="4"/>
      <c r="I32" s="4"/>
      <c r="J32" s="4"/>
      <c r="K32" s="1089"/>
      <c r="L32" s="1091"/>
      <c r="M32" s="4"/>
    </row>
    <row r="33" spans="1:13" ht="34.5" customHeight="1">
      <c r="A33" s="48">
        <v>1.1</v>
      </c>
      <c r="B33" s="5" t="s">
        <v>500</v>
      </c>
      <c r="C33" s="1209"/>
      <c r="D33" s="1097"/>
      <c r="E33" s="6"/>
      <c r="F33" s="6"/>
      <c r="G33" s="6"/>
      <c r="H33" s="6"/>
      <c r="I33" s="6"/>
      <c r="J33" s="6"/>
      <c r="K33" s="1209"/>
      <c r="L33" s="1097"/>
      <c r="M33" s="6"/>
    </row>
    <row r="34" spans="1:13" ht="34.5" customHeight="1">
      <c r="A34" s="6"/>
      <c r="B34" s="5" t="s">
        <v>489</v>
      </c>
      <c r="C34" s="1209"/>
      <c r="D34" s="1097"/>
      <c r="E34" s="6"/>
      <c r="F34" s="6"/>
      <c r="G34" s="6"/>
      <c r="H34" s="6"/>
      <c r="I34" s="6"/>
      <c r="J34" s="6"/>
      <c r="K34" s="1209"/>
      <c r="L34" s="1097"/>
      <c r="M34" s="6"/>
    </row>
    <row r="35" spans="1:13" ht="17.25" customHeight="1">
      <c r="A35" s="4"/>
      <c r="B35" s="3" t="s">
        <v>490</v>
      </c>
      <c r="C35" s="1089"/>
      <c r="D35" s="1091"/>
      <c r="E35" s="4"/>
      <c r="F35" s="4"/>
      <c r="G35" s="4"/>
      <c r="H35" s="4"/>
      <c r="I35" s="4"/>
      <c r="J35" s="4"/>
      <c r="K35" s="1089"/>
      <c r="L35" s="1091"/>
      <c r="M35" s="4"/>
    </row>
    <row r="36" spans="1:13" ht="17.25" customHeight="1">
      <c r="A36" s="4"/>
      <c r="B36" s="3" t="s">
        <v>491</v>
      </c>
      <c r="C36" s="1089"/>
      <c r="D36" s="1091"/>
      <c r="E36" s="4"/>
      <c r="F36" s="4"/>
      <c r="G36" s="4"/>
      <c r="H36" s="4"/>
      <c r="I36" s="4"/>
      <c r="J36" s="4"/>
      <c r="K36" s="1089"/>
      <c r="L36" s="1091"/>
      <c r="M36" s="4"/>
    </row>
    <row r="37" spans="1:13" ht="34.5" customHeight="1">
      <c r="A37" s="6"/>
      <c r="B37" s="5" t="s">
        <v>492</v>
      </c>
      <c r="C37" s="1209"/>
      <c r="D37" s="1097"/>
      <c r="E37" s="6"/>
      <c r="F37" s="6"/>
      <c r="G37" s="6"/>
      <c r="H37" s="6"/>
      <c r="I37" s="6"/>
      <c r="J37" s="6"/>
      <c r="K37" s="1209"/>
      <c r="L37" s="1097"/>
      <c r="M37" s="6"/>
    </row>
    <row r="38" spans="1:13" ht="17.25" customHeight="1">
      <c r="A38" s="4"/>
      <c r="B38" s="3" t="s">
        <v>493</v>
      </c>
      <c r="C38" s="1089"/>
      <c r="D38" s="1091"/>
      <c r="E38" s="4"/>
      <c r="F38" s="4"/>
      <c r="G38" s="4"/>
      <c r="H38" s="4"/>
      <c r="I38" s="4"/>
      <c r="J38" s="4"/>
      <c r="K38" s="1089"/>
      <c r="L38" s="1091"/>
      <c r="M38" s="4"/>
    </row>
    <row r="39" spans="1:13" ht="15.75" customHeight="1">
      <c r="A39" s="4"/>
      <c r="B39" s="4"/>
      <c r="C39" s="1089"/>
      <c r="D39" s="1091"/>
      <c r="E39" s="4"/>
      <c r="F39" s="4"/>
      <c r="G39" s="4"/>
      <c r="H39" s="4"/>
      <c r="I39" s="4"/>
      <c r="J39" s="4"/>
      <c r="K39" s="1089"/>
      <c r="L39" s="1091"/>
      <c r="M39" s="4"/>
    </row>
    <row r="40" spans="1:13" ht="17.25" customHeight="1">
      <c r="A40" s="12">
        <v>1.2</v>
      </c>
      <c r="B40" s="1" t="s">
        <v>501</v>
      </c>
      <c r="C40" s="1089"/>
      <c r="D40" s="1091"/>
      <c r="E40" s="4"/>
      <c r="F40" s="4"/>
      <c r="G40" s="4"/>
      <c r="H40" s="4"/>
      <c r="I40" s="4"/>
      <c r="J40" s="4"/>
      <c r="K40" s="1089"/>
      <c r="L40" s="1091"/>
      <c r="M40" s="4"/>
    </row>
    <row r="41" spans="1:13" ht="15.75" customHeight="1">
      <c r="A41" s="4"/>
      <c r="B41" s="4"/>
      <c r="C41" s="1089"/>
      <c r="D41" s="1091"/>
      <c r="E41" s="4"/>
      <c r="F41" s="4"/>
      <c r="G41" s="4"/>
      <c r="H41" s="4"/>
      <c r="I41" s="4"/>
      <c r="J41" s="4"/>
      <c r="K41" s="1089"/>
      <c r="L41" s="1091"/>
      <c r="M41" s="4"/>
    </row>
    <row r="42" spans="1:13" ht="17.25" customHeight="1">
      <c r="A42" s="13" t="s">
        <v>502</v>
      </c>
      <c r="B42" s="5" t="s">
        <v>503</v>
      </c>
      <c r="C42" s="1089"/>
      <c r="D42" s="1091"/>
      <c r="E42" s="4"/>
      <c r="F42" s="4"/>
      <c r="G42" s="4"/>
      <c r="H42" s="4"/>
      <c r="I42" s="4"/>
      <c r="J42" s="4"/>
      <c r="K42" s="1089"/>
      <c r="L42" s="1091"/>
      <c r="M42" s="4"/>
    </row>
    <row r="43" spans="1:13" ht="34.5" customHeight="1">
      <c r="A43" s="6"/>
      <c r="B43" s="5" t="s">
        <v>489</v>
      </c>
      <c r="C43" s="1224" t="s">
        <v>504</v>
      </c>
      <c r="D43" s="1225"/>
      <c r="E43" s="3" t="s">
        <v>504</v>
      </c>
      <c r="F43" s="6"/>
      <c r="G43" s="3" t="s">
        <v>504</v>
      </c>
      <c r="H43" s="3" t="s">
        <v>504</v>
      </c>
      <c r="I43" s="6"/>
      <c r="J43" s="3" t="s">
        <v>504</v>
      </c>
      <c r="K43" s="1224" t="s">
        <v>504</v>
      </c>
      <c r="L43" s="1225"/>
      <c r="M43" s="6"/>
    </row>
    <row r="44" spans="1:13" ht="17.25" customHeight="1">
      <c r="A44" s="4"/>
      <c r="B44" s="3" t="s">
        <v>490</v>
      </c>
      <c r="C44" s="1224" t="s">
        <v>504</v>
      </c>
      <c r="D44" s="1225"/>
      <c r="E44" s="3" t="s">
        <v>504</v>
      </c>
      <c r="F44" s="4"/>
      <c r="G44" s="3" t="s">
        <v>504</v>
      </c>
      <c r="H44" s="3" t="s">
        <v>504</v>
      </c>
      <c r="I44" s="4"/>
      <c r="J44" s="3" t="s">
        <v>504</v>
      </c>
      <c r="K44" s="1224" t="s">
        <v>504</v>
      </c>
      <c r="L44" s="1225"/>
      <c r="M44" s="4"/>
    </row>
    <row r="45" spans="1:13" ht="17.25" customHeight="1">
      <c r="A45" s="4"/>
      <c r="B45" s="3" t="s">
        <v>491</v>
      </c>
      <c r="C45" s="1224" t="s">
        <v>504</v>
      </c>
      <c r="D45" s="1225"/>
      <c r="E45" s="3" t="s">
        <v>504</v>
      </c>
      <c r="F45" s="4"/>
      <c r="G45" s="3" t="s">
        <v>504</v>
      </c>
      <c r="H45" s="3" t="s">
        <v>504</v>
      </c>
      <c r="I45" s="4"/>
      <c r="J45" s="3" t="s">
        <v>504</v>
      </c>
      <c r="K45" s="1224" t="s">
        <v>504</v>
      </c>
      <c r="L45" s="1225"/>
      <c r="M45" s="4"/>
    </row>
    <row r="46" spans="1:13" ht="15.75" customHeight="1">
      <c r="A46" s="4"/>
      <c r="B46" s="4"/>
      <c r="C46" s="1089"/>
      <c r="D46" s="1091"/>
      <c r="E46" s="4"/>
      <c r="F46" s="4"/>
      <c r="G46" s="4"/>
      <c r="H46" s="4"/>
      <c r="I46" s="4"/>
      <c r="J46" s="4"/>
      <c r="K46" s="1089"/>
      <c r="L46" s="1091"/>
      <c r="M46" s="4"/>
    </row>
    <row r="47" spans="1:13" ht="17.25" customHeight="1">
      <c r="A47" s="13" t="s">
        <v>505</v>
      </c>
      <c r="B47" s="5" t="s">
        <v>506</v>
      </c>
      <c r="C47" s="1089"/>
      <c r="D47" s="1091"/>
      <c r="E47" s="4"/>
      <c r="F47" s="4"/>
      <c r="G47" s="4"/>
      <c r="H47" s="4"/>
      <c r="I47" s="4"/>
      <c r="J47" s="4"/>
      <c r="K47" s="1089"/>
      <c r="L47" s="1091"/>
      <c r="M47" s="4"/>
    </row>
    <row r="48" spans="1:13" ht="34.5" customHeight="1">
      <c r="A48" s="6"/>
      <c r="B48" s="5" t="s">
        <v>489</v>
      </c>
      <c r="C48" s="1224" t="s">
        <v>504</v>
      </c>
      <c r="D48" s="1225"/>
      <c r="E48" s="3" t="s">
        <v>504</v>
      </c>
      <c r="F48" s="6"/>
      <c r="G48" s="3" t="s">
        <v>504</v>
      </c>
      <c r="H48" s="3" t="s">
        <v>504</v>
      </c>
      <c r="I48" s="6"/>
      <c r="J48" s="3" t="s">
        <v>504</v>
      </c>
      <c r="K48" s="1224" t="s">
        <v>504</v>
      </c>
      <c r="L48" s="1225"/>
      <c r="M48" s="6"/>
    </row>
    <row r="49" spans="1:13" ht="17.25" customHeight="1">
      <c r="A49" s="4"/>
      <c r="B49" s="3" t="s">
        <v>490</v>
      </c>
      <c r="C49" s="1224" t="s">
        <v>504</v>
      </c>
      <c r="D49" s="1225"/>
      <c r="E49" s="3" t="s">
        <v>504</v>
      </c>
      <c r="F49" s="4"/>
      <c r="G49" s="3" t="s">
        <v>504</v>
      </c>
      <c r="H49" s="3" t="s">
        <v>504</v>
      </c>
      <c r="I49" s="4"/>
      <c r="J49" s="3" t="s">
        <v>504</v>
      </c>
      <c r="K49" s="1224" t="s">
        <v>504</v>
      </c>
      <c r="L49" s="1225"/>
      <c r="M49" s="4"/>
    </row>
    <row r="50" spans="1:13" ht="17.25" customHeight="1">
      <c r="A50" s="4"/>
      <c r="B50" s="3" t="s">
        <v>491</v>
      </c>
      <c r="C50" s="1224" t="s">
        <v>504</v>
      </c>
      <c r="D50" s="1225"/>
      <c r="E50" s="3" t="s">
        <v>504</v>
      </c>
      <c r="F50" s="4"/>
      <c r="G50" s="3" t="s">
        <v>504</v>
      </c>
      <c r="H50" s="3" t="s">
        <v>504</v>
      </c>
      <c r="I50" s="4"/>
      <c r="J50" s="3" t="s">
        <v>504</v>
      </c>
      <c r="K50" s="1224" t="s">
        <v>504</v>
      </c>
      <c r="L50" s="1225"/>
      <c r="M50" s="4"/>
    </row>
    <row r="51" spans="1:13" ht="15.75" customHeight="1">
      <c r="A51" s="4"/>
      <c r="B51" s="4"/>
      <c r="C51" s="1089"/>
      <c r="D51" s="1091"/>
      <c r="E51" s="4"/>
      <c r="F51" s="4"/>
      <c r="G51" s="4"/>
      <c r="H51" s="4"/>
      <c r="I51" s="4"/>
      <c r="J51" s="4"/>
      <c r="K51" s="1089"/>
      <c r="L51" s="1091"/>
      <c r="M51" s="4"/>
    </row>
    <row r="52" spans="1:13" ht="17.25" customHeight="1">
      <c r="A52" s="13" t="s">
        <v>507</v>
      </c>
      <c r="B52" s="5" t="s">
        <v>508</v>
      </c>
      <c r="C52" s="1089"/>
      <c r="D52" s="1091"/>
      <c r="E52" s="4"/>
      <c r="F52" s="4"/>
      <c r="G52" s="4"/>
      <c r="H52" s="4"/>
      <c r="I52" s="4"/>
      <c r="J52" s="4"/>
      <c r="K52" s="1089"/>
      <c r="L52" s="1091"/>
      <c r="M52" s="4"/>
    </row>
    <row r="53" spans="1:13" ht="34.5" customHeight="1">
      <c r="A53" s="6"/>
      <c r="B53" s="5" t="s">
        <v>489</v>
      </c>
      <c r="C53" s="1224" t="s">
        <v>504</v>
      </c>
      <c r="D53" s="1225"/>
      <c r="E53" s="3" t="s">
        <v>504</v>
      </c>
      <c r="F53" s="6"/>
      <c r="G53" s="3" t="s">
        <v>504</v>
      </c>
      <c r="H53" s="3" t="s">
        <v>504</v>
      </c>
      <c r="I53" s="6"/>
      <c r="J53" s="3" t="s">
        <v>504</v>
      </c>
      <c r="K53" s="1224" t="s">
        <v>504</v>
      </c>
      <c r="L53" s="1225"/>
      <c r="M53" s="6"/>
    </row>
    <row r="54" spans="1:13" ht="17.25" customHeight="1">
      <c r="A54" s="4"/>
      <c r="B54" s="3" t="s">
        <v>490</v>
      </c>
      <c r="C54" s="1224" t="s">
        <v>504</v>
      </c>
      <c r="D54" s="1225"/>
      <c r="E54" s="3" t="s">
        <v>504</v>
      </c>
      <c r="F54" s="4"/>
      <c r="G54" s="3" t="s">
        <v>504</v>
      </c>
      <c r="H54" s="3" t="s">
        <v>504</v>
      </c>
      <c r="I54" s="4"/>
      <c r="J54" s="3" t="s">
        <v>504</v>
      </c>
      <c r="K54" s="1224" t="s">
        <v>504</v>
      </c>
      <c r="L54" s="1225"/>
      <c r="M54" s="4"/>
    </row>
    <row r="55" spans="1:13" ht="17.25" customHeight="1">
      <c r="A55" s="4"/>
      <c r="B55" s="3" t="s">
        <v>491</v>
      </c>
      <c r="C55" s="1224" t="s">
        <v>504</v>
      </c>
      <c r="D55" s="1225"/>
      <c r="E55" s="3" t="s">
        <v>504</v>
      </c>
      <c r="F55" s="4"/>
      <c r="G55" s="3" t="s">
        <v>504</v>
      </c>
      <c r="H55" s="3" t="s">
        <v>504</v>
      </c>
      <c r="I55" s="4"/>
      <c r="J55" s="3" t="s">
        <v>504</v>
      </c>
      <c r="K55" s="1224" t="s">
        <v>504</v>
      </c>
      <c r="L55" s="1225"/>
      <c r="M55" s="4"/>
    </row>
    <row r="56" spans="1:13" ht="15.75" customHeight="1">
      <c r="A56" s="4"/>
      <c r="B56" s="4"/>
      <c r="C56" s="1089"/>
      <c r="D56" s="1091"/>
      <c r="E56" s="4"/>
      <c r="F56" s="4"/>
      <c r="G56" s="4"/>
      <c r="H56" s="4"/>
      <c r="I56" s="4"/>
      <c r="J56" s="4"/>
      <c r="K56" s="1089"/>
      <c r="L56" s="1091"/>
      <c r="M56" s="4"/>
    </row>
    <row r="57" spans="1:13" ht="17.25" customHeight="1">
      <c r="A57" s="13" t="s">
        <v>509</v>
      </c>
      <c r="B57" s="3" t="s">
        <v>499</v>
      </c>
      <c r="C57" s="1224" t="s">
        <v>504</v>
      </c>
      <c r="D57" s="1225"/>
      <c r="E57" s="3" t="s">
        <v>504</v>
      </c>
      <c r="F57" s="4"/>
      <c r="G57" s="3" t="s">
        <v>504</v>
      </c>
      <c r="H57" s="3" t="s">
        <v>504</v>
      </c>
      <c r="I57" s="4"/>
      <c r="J57" s="3" t="s">
        <v>504</v>
      </c>
      <c r="K57" s="1224" t="s">
        <v>504</v>
      </c>
      <c r="L57" s="1225"/>
      <c r="M57" s="4"/>
    </row>
    <row r="58" spans="1:13" ht="17.25" customHeight="1">
      <c r="A58" s="4"/>
      <c r="B58" s="3" t="s">
        <v>499</v>
      </c>
      <c r="C58" s="1224" t="s">
        <v>504</v>
      </c>
      <c r="D58" s="1225"/>
      <c r="E58" s="3" t="s">
        <v>504</v>
      </c>
      <c r="F58" s="4"/>
      <c r="G58" s="3" t="s">
        <v>504</v>
      </c>
      <c r="H58" s="3" t="s">
        <v>504</v>
      </c>
      <c r="I58" s="4"/>
      <c r="J58" s="3" t="s">
        <v>504</v>
      </c>
      <c r="K58" s="1224" t="s">
        <v>504</v>
      </c>
      <c r="L58" s="1225"/>
      <c r="M58" s="4"/>
    </row>
    <row r="59" spans="1:13" ht="17.25" customHeight="1">
      <c r="A59" s="4"/>
      <c r="B59" s="3" t="s">
        <v>499</v>
      </c>
      <c r="C59" s="1224" t="s">
        <v>504</v>
      </c>
      <c r="D59" s="1225"/>
      <c r="E59" s="3" t="s">
        <v>504</v>
      </c>
      <c r="F59" s="4"/>
      <c r="G59" s="3" t="s">
        <v>504</v>
      </c>
      <c r="H59" s="3" t="s">
        <v>504</v>
      </c>
      <c r="I59" s="4"/>
      <c r="J59" s="3" t="s">
        <v>504</v>
      </c>
      <c r="K59" s="1224" t="s">
        <v>504</v>
      </c>
      <c r="L59" s="1225"/>
      <c r="M59" s="4"/>
    </row>
    <row r="60" spans="1:13" ht="15.75" customHeight="1">
      <c r="A60" s="4"/>
      <c r="B60" s="4"/>
      <c r="C60" s="1089"/>
      <c r="D60" s="1091"/>
      <c r="E60" s="4"/>
      <c r="F60" s="4"/>
      <c r="G60" s="4"/>
      <c r="H60" s="4"/>
      <c r="I60" s="4"/>
      <c r="J60" s="4"/>
      <c r="K60" s="1089"/>
      <c r="L60" s="1091"/>
      <c r="M60" s="4"/>
    </row>
    <row r="61" spans="1:13" ht="17.25" customHeight="1">
      <c r="A61" s="48">
        <v>1.2</v>
      </c>
      <c r="B61" s="1" t="s">
        <v>510</v>
      </c>
      <c r="C61" s="1089"/>
      <c r="D61" s="1091"/>
      <c r="E61" s="4"/>
      <c r="F61" s="4"/>
      <c r="G61" s="4"/>
      <c r="H61" s="4"/>
      <c r="I61" s="4"/>
      <c r="J61" s="4"/>
      <c r="K61" s="1089"/>
      <c r="L61" s="1091"/>
      <c r="M61" s="4"/>
    </row>
    <row r="62" spans="1:13" ht="34.5" customHeight="1">
      <c r="A62" s="6"/>
      <c r="B62" s="5" t="s">
        <v>489</v>
      </c>
      <c r="C62" s="1224" t="s">
        <v>504</v>
      </c>
      <c r="D62" s="1225"/>
      <c r="E62" s="3" t="s">
        <v>504</v>
      </c>
      <c r="F62" s="6"/>
      <c r="G62" s="3" t="s">
        <v>504</v>
      </c>
      <c r="H62" s="3" t="s">
        <v>504</v>
      </c>
      <c r="I62" s="6"/>
      <c r="J62" s="3" t="s">
        <v>504</v>
      </c>
      <c r="K62" s="1224" t="s">
        <v>504</v>
      </c>
      <c r="L62" s="1225"/>
      <c r="M62" s="6"/>
    </row>
    <row r="63" spans="1:13" ht="17.25" customHeight="1">
      <c r="A63" s="4"/>
      <c r="B63" s="3" t="s">
        <v>490</v>
      </c>
      <c r="C63" s="1224" t="s">
        <v>504</v>
      </c>
      <c r="D63" s="1225"/>
      <c r="E63" s="3" t="s">
        <v>504</v>
      </c>
      <c r="F63" s="4"/>
      <c r="G63" s="3" t="s">
        <v>504</v>
      </c>
      <c r="H63" s="3" t="s">
        <v>504</v>
      </c>
      <c r="I63" s="4"/>
      <c r="J63" s="3" t="s">
        <v>504</v>
      </c>
      <c r="K63" s="1224" t="s">
        <v>504</v>
      </c>
      <c r="L63" s="1225"/>
      <c r="M63" s="4"/>
    </row>
    <row r="64" spans="1:13" ht="17.25" customHeight="1">
      <c r="A64" s="4"/>
      <c r="B64" s="3" t="s">
        <v>491</v>
      </c>
      <c r="C64" s="1224" t="s">
        <v>504</v>
      </c>
      <c r="D64" s="1225"/>
      <c r="E64" s="3" t="s">
        <v>504</v>
      </c>
      <c r="F64" s="4"/>
      <c r="G64" s="3" t="s">
        <v>504</v>
      </c>
      <c r="H64" s="3" t="s">
        <v>504</v>
      </c>
      <c r="I64" s="4"/>
      <c r="J64" s="3" t="s">
        <v>504</v>
      </c>
      <c r="K64" s="1224" t="s">
        <v>504</v>
      </c>
      <c r="L64" s="1225"/>
      <c r="M64" s="4"/>
    </row>
    <row r="65" spans="1:13" ht="15.75" customHeight="1">
      <c r="A65" s="4"/>
      <c r="B65" s="4"/>
      <c r="C65" s="1089"/>
      <c r="D65" s="1091"/>
      <c r="E65" s="4"/>
      <c r="F65" s="4"/>
      <c r="G65" s="4"/>
      <c r="H65" s="4"/>
      <c r="I65" s="4"/>
      <c r="J65" s="4"/>
      <c r="K65" s="1089"/>
      <c r="L65" s="1091"/>
      <c r="M65" s="4"/>
    </row>
    <row r="66" spans="1:13" ht="34.5" customHeight="1">
      <c r="A66" s="9">
        <v>1</v>
      </c>
      <c r="B66" s="5" t="s">
        <v>511</v>
      </c>
      <c r="C66" s="1209"/>
      <c r="D66" s="1097"/>
      <c r="E66" s="6"/>
      <c r="F66" s="6"/>
      <c r="G66" s="6"/>
      <c r="H66" s="6"/>
      <c r="I66" s="6"/>
      <c r="J66" s="6"/>
      <c r="K66" s="1209"/>
      <c r="L66" s="1097"/>
      <c r="M66" s="6"/>
    </row>
    <row r="67" spans="1:13" ht="17.25" customHeight="1">
      <c r="A67" s="4"/>
      <c r="B67" s="1" t="s">
        <v>512</v>
      </c>
      <c r="C67" s="1089"/>
      <c r="D67" s="1091"/>
      <c r="E67" s="4"/>
      <c r="F67" s="4"/>
      <c r="G67" s="4"/>
      <c r="H67" s="4"/>
      <c r="I67" s="4"/>
      <c r="J67" s="4"/>
      <c r="K67" s="1089"/>
      <c r="L67" s="1091"/>
      <c r="M67" s="4"/>
    </row>
    <row r="68" spans="1:13" ht="17.25" customHeight="1">
      <c r="A68" s="4"/>
      <c r="B68" s="1" t="s">
        <v>513</v>
      </c>
      <c r="C68" s="1089"/>
      <c r="D68" s="1091"/>
      <c r="E68" s="4"/>
      <c r="F68" s="4"/>
      <c r="G68" s="4"/>
      <c r="H68" s="4"/>
      <c r="I68" s="4"/>
      <c r="J68" s="4"/>
      <c r="K68" s="1089"/>
      <c r="L68" s="1091"/>
      <c r="M68" s="4"/>
    </row>
    <row r="69" spans="1:13" ht="34.5" customHeight="1">
      <c r="A69" s="6"/>
      <c r="B69" s="5" t="s">
        <v>514</v>
      </c>
      <c r="C69" s="1209"/>
      <c r="D69" s="1097"/>
      <c r="E69" s="6"/>
      <c r="F69" s="6"/>
      <c r="G69" s="6"/>
      <c r="H69" s="6"/>
      <c r="I69" s="6"/>
      <c r="J69" s="6"/>
      <c r="K69" s="1209"/>
      <c r="L69" s="1097"/>
      <c r="M69" s="6"/>
    </row>
    <row r="70" spans="1:13" ht="17.25" customHeight="1">
      <c r="A70" s="4"/>
      <c r="B70" s="1" t="s">
        <v>515</v>
      </c>
      <c r="C70" s="1089"/>
      <c r="D70" s="1091"/>
      <c r="E70" s="4"/>
      <c r="F70" s="4"/>
      <c r="G70" s="4"/>
      <c r="H70" s="4"/>
      <c r="I70" s="4"/>
      <c r="J70" s="4"/>
      <c r="K70" s="1089"/>
      <c r="L70" s="1091"/>
      <c r="M70" s="4"/>
    </row>
    <row r="71" spans="1:13" ht="15.75" customHeight="1">
      <c r="A71" s="4"/>
      <c r="B71" s="4"/>
      <c r="C71" s="1089"/>
      <c r="D71" s="1091"/>
      <c r="E71" s="4"/>
      <c r="F71" s="4"/>
      <c r="G71" s="4"/>
      <c r="H71" s="4"/>
      <c r="I71" s="4"/>
      <c r="J71" s="4"/>
      <c r="K71" s="1089"/>
      <c r="L71" s="1091"/>
      <c r="M71" s="4"/>
    </row>
    <row r="72" spans="1:13" ht="17.25" customHeight="1">
      <c r="A72" s="9">
        <v>2</v>
      </c>
      <c r="B72" s="1" t="s">
        <v>427</v>
      </c>
      <c r="C72" s="1089"/>
      <c r="D72" s="1091"/>
      <c r="E72" s="4"/>
      <c r="F72" s="4"/>
      <c r="G72" s="4"/>
      <c r="H72" s="4"/>
      <c r="I72" s="4"/>
      <c r="J72" s="4"/>
      <c r="K72" s="1089"/>
      <c r="L72" s="1091"/>
      <c r="M72" s="4"/>
    </row>
    <row r="73" spans="1:13" ht="15.75" customHeight="1">
      <c r="A73" s="4"/>
      <c r="B73" s="4"/>
      <c r="C73" s="1089"/>
      <c r="D73" s="1091"/>
      <c r="E73" s="4"/>
      <c r="F73" s="4"/>
      <c r="G73" s="4"/>
      <c r="H73" s="4"/>
      <c r="I73" s="4"/>
      <c r="J73" s="4"/>
      <c r="K73" s="1089"/>
      <c r="L73" s="1091"/>
      <c r="M73" s="4"/>
    </row>
    <row r="74" spans="1:13" ht="34.5" customHeight="1">
      <c r="A74" s="48">
        <v>2.1</v>
      </c>
      <c r="B74" s="5" t="s">
        <v>516</v>
      </c>
      <c r="C74" s="1209"/>
      <c r="D74" s="1097"/>
      <c r="E74" s="6"/>
      <c r="F74" s="6"/>
      <c r="G74" s="6"/>
      <c r="H74" s="6"/>
      <c r="I74" s="6"/>
      <c r="J74" s="6"/>
      <c r="K74" s="1209"/>
      <c r="L74" s="1097"/>
      <c r="M74" s="6"/>
    </row>
    <row r="75" spans="1:13" ht="15.75" customHeight="1">
      <c r="A75" s="4"/>
      <c r="B75" s="4"/>
      <c r="C75" s="1089"/>
      <c r="D75" s="1091"/>
      <c r="E75" s="4"/>
      <c r="F75" s="4"/>
      <c r="G75" s="4"/>
      <c r="H75" s="4"/>
      <c r="I75" s="4"/>
      <c r="J75" s="4"/>
      <c r="K75" s="1089"/>
      <c r="L75" s="1091"/>
      <c r="M75" s="4"/>
    </row>
    <row r="76" spans="1:13" ht="34.5" customHeight="1">
      <c r="A76" s="48">
        <v>2.2</v>
      </c>
      <c r="B76" s="5" t="s">
        <v>517</v>
      </c>
      <c r="C76" s="1224" t="s">
        <v>504</v>
      </c>
      <c r="D76" s="1225"/>
      <c r="E76" s="3" t="s">
        <v>504</v>
      </c>
      <c r="F76" s="6"/>
      <c r="G76" s="3" t="s">
        <v>504</v>
      </c>
      <c r="H76" s="3" t="s">
        <v>504</v>
      </c>
      <c r="I76" s="6"/>
      <c r="J76" s="3" t="s">
        <v>504</v>
      </c>
      <c r="K76" s="1224" t="s">
        <v>504</v>
      </c>
      <c r="L76" s="1225"/>
      <c r="M76" s="6"/>
    </row>
    <row r="77" spans="1:13" ht="15.75" customHeight="1">
      <c r="A77" s="4"/>
      <c r="B77" s="4"/>
      <c r="C77" s="1089"/>
      <c r="D77" s="1091"/>
      <c r="E77" s="4"/>
      <c r="F77" s="4"/>
      <c r="G77" s="4"/>
      <c r="H77" s="4"/>
      <c r="I77" s="4"/>
      <c r="J77" s="4"/>
      <c r="K77" s="1089"/>
      <c r="L77" s="1091"/>
      <c r="M77" s="4"/>
    </row>
    <row r="78" spans="1:13" ht="34.5" customHeight="1">
      <c r="A78" s="6"/>
      <c r="B78" s="5" t="s">
        <v>518</v>
      </c>
      <c r="C78" s="1209"/>
      <c r="D78" s="1097"/>
      <c r="E78" s="6"/>
      <c r="F78" s="6"/>
      <c r="G78" s="6"/>
      <c r="H78" s="6"/>
      <c r="I78" s="6"/>
      <c r="J78" s="6"/>
      <c r="K78" s="1209"/>
      <c r="L78" s="1097"/>
      <c r="M78" s="6"/>
    </row>
    <row r="79" spans="1:14" ht="84" customHeight="1">
      <c r="A79" s="1436" t="s">
        <v>519</v>
      </c>
      <c r="B79" s="1436"/>
      <c r="C79" s="1436"/>
      <c r="D79" s="1436"/>
      <c r="E79" s="1436"/>
      <c r="F79" s="1436"/>
      <c r="G79" s="1436"/>
      <c r="H79" s="1436"/>
      <c r="I79" s="1436"/>
      <c r="J79" s="1436"/>
      <c r="K79" s="1436"/>
      <c r="L79" s="1436"/>
      <c r="M79" s="1436"/>
      <c r="N79" s="1436"/>
    </row>
    <row r="80" spans="1:14" ht="17.25" customHeight="1">
      <c r="A80" s="1437" t="s">
        <v>137</v>
      </c>
      <c r="B80" s="1437"/>
      <c r="C80" s="1437"/>
      <c r="D80" s="1437"/>
      <c r="E80" s="1437"/>
      <c r="F80" s="1437"/>
      <c r="G80" s="1437"/>
      <c r="H80" s="1437"/>
      <c r="I80" s="1437"/>
      <c r="J80" s="1437"/>
      <c r="K80" s="1437"/>
      <c r="L80" s="1437"/>
      <c r="M80" s="1437"/>
      <c r="N80" s="1437"/>
    </row>
  </sheetData>
  <sheetProtection/>
  <mergeCells count="161">
    <mergeCell ref="A1:C1"/>
    <mergeCell ref="D1:K1"/>
    <mergeCell ref="L1:N1"/>
    <mergeCell ref="A2:A3"/>
    <mergeCell ref="C2:F2"/>
    <mergeCell ref="G2:I2"/>
    <mergeCell ref="J2:M2"/>
    <mergeCell ref="C3:D3"/>
    <mergeCell ref="K3:L3"/>
    <mergeCell ref="C4:D4"/>
    <mergeCell ref="K4:L4"/>
    <mergeCell ref="C5:D5"/>
    <mergeCell ref="K5:L5"/>
    <mergeCell ref="C6:D6"/>
    <mergeCell ref="K6:L6"/>
    <mergeCell ref="C7:D7"/>
    <mergeCell ref="K7:L7"/>
    <mergeCell ref="C8:D8"/>
    <mergeCell ref="K8:L8"/>
    <mergeCell ref="C9:D9"/>
    <mergeCell ref="K9:L9"/>
    <mergeCell ref="C10:D10"/>
    <mergeCell ref="K10:L10"/>
    <mergeCell ref="C11:D11"/>
    <mergeCell ref="K11:L11"/>
    <mergeCell ref="C12:D12"/>
    <mergeCell ref="K12:L12"/>
    <mergeCell ref="C13:D13"/>
    <mergeCell ref="K13:L13"/>
    <mergeCell ref="C14:D14"/>
    <mergeCell ref="K14:L14"/>
    <mergeCell ref="C15:D15"/>
    <mergeCell ref="K15:L15"/>
    <mergeCell ref="C16:D16"/>
    <mergeCell ref="K16:L16"/>
    <mergeCell ref="C17:D17"/>
    <mergeCell ref="K17:L17"/>
    <mergeCell ref="C18:D18"/>
    <mergeCell ref="K18:L18"/>
    <mergeCell ref="C19:D19"/>
    <mergeCell ref="K19:L19"/>
    <mergeCell ref="C20:D20"/>
    <mergeCell ref="K20:L20"/>
    <mergeCell ref="C21:D21"/>
    <mergeCell ref="K21:L21"/>
    <mergeCell ref="C22:D22"/>
    <mergeCell ref="K22:L22"/>
    <mergeCell ref="C23:D23"/>
    <mergeCell ref="K23:L23"/>
    <mergeCell ref="C24:D24"/>
    <mergeCell ref="K24:L24"/>
    <mergeCell ref="C25:D25"/>
    <mergeCell ref="K25:L25"/>
    <mergeCell ref="C26:D26"/>
    <mergeCell ref="K26:L26"/>
    <mergeCell ref="C27:D27"/>
    <mergeCell ref="K27:L27"/>
    <mergeCell ref="C28:D28"/>
    <mergeCell ref="K28:L28"/>
    <mergeCell ref="C29:D29"/>
    <mergeCell ref="K29:L29"/>
    <mergeCell ref="C30:D30"/>
    <mergeCell ref="K30:L30"/>
    <mergeCell ref="C31:D31"/>
    <mergeCell ref="K31:L31"/>
    <mergeCell ref="C32:D32"/>
    <mergeCell ref="K32:L32"/>
    <mergeCell ref="C33:D33"/>
    <mergeCell ref="K33:L33"/>
    <mergeCell ref="C34:D34"/>
    <mergeCell ref="K34:L34"/>
    <mergeCell ref="C35:D35"/>
    <mergeCell ref="K35:L35"/>
    <mergeCell ref="C36:D36"/>
    <mergeCell ref="K36:L36"/>
    <mergeCell ref="C37:D37"/>
    <mergeCell ref="K37:L37"/>
    <mergeCell ref="C38:D38"/>
    <mergeCell ref="K38:L38"/>
    <mergeCell ref="C39:D39"/>
    <mergeCell ref="K39:L39"/>
    <mergeCell ref="C40:D40"/>
    <mergeCell ref="K40:L40"/>
    <mergeCell ref="C41:D41"/>
    <mergeCell ref="K41:L41"/>
    <mergeCell ref="C42:D42"/>
    <mergeCell ref="K42:L42"/>
    <mergeCell ref="C43:D43"/>
    <mergeCell ref="K43:L43"/>
    <mergeCell ref="C44:D44"/>
    <mergeCell ref="K44:L44"/>
    <mergeCell ref="C45:D45"/>
    <mergeCell ref="K45:L45"/>
    <mergeCell ref="C46:D46"/>
    <mergeCell ref="K46:L46"/>
    <mergeCell ref="C47:D47"/>
    <mergeCell ref="K47:L47"/>
    <mergeCell ref="C48:D48"/>
    <mergeCell ref="K48:L48"/>
    <mergeCell ref="C49:D49"/>
    <mergeCell ref="K49:L49"/>
    <mergeCell ref="C50:D50"/>
    <mergeCell ref="K50:L50"/>
    <mergeCell ref="C51:D51"/>
    <mergeCell ref="K51:L51"/>
    <mergeCell ref="C52:D52"/>
    <mergeCell ref="K52:L52"/>
    <mergeCell ref="C53:D53"/>
    <mergeCell ref="K53:L53"/>
    <mergeCell ref="C54:D54"/>
    <mergeCell ref="K54:L54"/>
    <mergeCell ref="C55:D55"/>
    <mergeCell ref="K55:L55"/>
    <mergeCell ref="C56:D56"/>
    <mergeCell ref="K56:L56"/>
    <mergeCell ref="C57:D57"/>
    <mergeCell ref="K57:L57"/>
    <mergeCell ref="C58:D58"/>
    <mergeCell ref="K58:L58"/>
    <mergeCell ref="C59:D59"/>
    <mergeCell ref="K59:L59"/>
    <mergeCell ref="C60:D60"/>
    <mergeCell ref="K60:L60"/>
    <mergeCell ref="C61:D61"/>
    <mergeCell ref="K61:L61"/>
    <mergeCell ref="C62:D62"/>
    <mergeCell ref="K62:L62"/>
    <mergeCell ref="C63:D63"/>
    <mergeCell ref="K63:L63"/>
    <mergeCell ref="C64:D64"/>
    <mergeCell ref="K64:L64"/>
    <mergeCell ref="C65:D65"/>
    <mergeCell ref="K65:L65"/>
    <mergeCell ref="C66:D66"/>
    <mergeCell ref="K66:L66"/>
    <mergeCell ref="C67:D67"/>
    <mergeCell ref="K67:L67"/>
    <mergeCell ref="C68:D68"/>
    <mergeCell ref="K68:L68"/>
    <mergeCell ref="C69:D69"/>
    <mergeCell ref="K69:L69"/>
    <mergeCell ref="C76:D76"/>
    <mergeCell ref="K76:L76"/>
    <mergeCell ref="C77:D77"/>
    <mergeCell ref="K77:L77"/>
    <mergeCell ref="C70:D70"/>
    <mergeCell ref="K70:L70"/>
    <mergeCell ref="C71:D71"/>
    <mergeCell ref="K71:L71"/>
    <mergeCell ref="C72:D72"/>
    <mergeCell ref="K72:L72"/>
    <mergeCell ref="C78:D78"/>
    <mergeCell ref="K78:L78"/>
    <mergeCell ref="C73:D73"/>
    <mergeCell ref="K73:L73"/>
    <mergeCell ref="A79:N79"/>
    <mergeCell ref="A80:N80"/>
    <mergeCell ref="C74:D74"/>
    <mergeCell ref="K74:L74"/>
    <mergeCell ref="C75:D75"/>
    <mergeCell ref="K75:L75"/>
  </mergeCells>
  <printOptions/>
  <pageMargins left="0.7" right="0.7" top="0.75" bottom="0.75" header="0.3" footer="0.3"/>
  <pageSetup orientation="portrait" paperSize="9"/>
  <drawing r:id="rId1"/>
</worksheet>
</file>

<file path=xl/worksheets/sheet71.xml><?xml version="1.0" encoding="utf-8"?>
<worksheet xmlns="http://schemas.openxmlformats.org/spreadsheetml/2006/main" xmlns:r="http://schemas.openxmlformats.org/officeDocument/2006/relationships">
  <dimension ref="A1:M47"/>
  <sheetViews>
    <sheetView zoomScalePageLayoutView="0" workbookViewId="0" topLeftCell="A40">
      <selection activeCell="A1" sqref="A1:J1"/>
    </sheetView>
  </sheetViews>
  <sheetFormatPr defaultColWidth="9.33203125" defaultRowHeight="12.75"/>
  <cols>
    <col min="1" max="1" width="8.66015625" style="0" customWidth="1"/>
    <col min="2" max="2" width="40.5" style="0" customWidth="1"/>
    <col min="3" max="3" width="2.66015625" style="0" customWidth="1"/>
    <col min="4" max="4" width="13.16015625" style="0" customWidth="1"/>
    <col min="5" max="5" width="14.16015625" style="0" customWidth="1"/>
    <col min="6" max="7" width="12.16015625" style="0" customWidth="1"/>
    <col min="8" max="8" width="14.83203125" style="0" customWidth="1"/>
    <col min="9" max="9" width="16.5" style="0" customWidth="1"/>
    <col min="10" max="10" width="4.16015625" style="0" customWidth="1"/>
    <col min="11" max="11" width="12.66015625" style="0" customWidth="1"/>
    <col min="12" max="12" width="16.83203125" style="0" customWidth="1"/>
    <col min="13" max="13" width="12.66015625" style="0" customWidth="1"/>
  </cols>
  <sheetData>
    <row r="1" spans="1:13" ht="119.25" customHeight="1">
      <c r="A1" s="1203" t="s">
        <v>350</v>
      </c>
      <c r="B1" s="1203"/>
      <c r="C1" s="1203"/>
      <c r="D1" s="1427" t="s">
        <v>520</v>
      </c>
      <c r="E1" s="1427"/>
      <c r="F1" s="1427"/>
      <c r="G1" s="1427"/>
      <c r="H1" s="1427"/>
      <c r="I1" s="1427"/>
      <c r="J1" s="1427"/>
      <c r="K1" s="1455" t="s">
        <v>521</v>
      </c>
      <c r="L1" s="1455"/>
      <c r="M1" s="1455"/>
    </row>
    <row r="2" spans="1:12" ht="17.25" customHeight="1">
      <c r="A2" s="1213" t="s">
        <v>273</v>
      </c>
      <c r="B2" s="1456" t="s">
        <v>522</v>
      </c>
      <c r="C2" s="1083" t="s">
        <v>110</v>
      </c>
      <c r="D2" s="1085"/>
      <c r="E2" s="1459" t="s">
        <v>523</v>
      </c>
      <c r="F2" s="1460"/>
      <c r="G2" s="1461"/>
      <c r="H2" s="1464" t="s">
        <v>523</v>
      </c>
      <c r="I2" s="1465"/>
      <c r="J2" s="1464" t="s">
        <v>523</v>
      </c>
      <c r="K2" s="1466"/>
      <c r="L2" s="1465"/>
    </row>
    <row r="3" spans="1:12" ht="57.75" customHeight="1">
      <c r="A3" s="1214"/>
      <c r="B3" s="1457"/>
      <c r="C3" s="1229"/>
      <c r="D3" s="1230"/>
      <c r="E3" s="1447" t="s">
        <v>524</v>
      </c>
      <c r="F3" s="1467"/>
      <c r="G3" s="1448"/>
      <c r="H3" s="1409" t="s">
        <v>525</v>
      </c>
      <c r="I3" s="1410"/>
      <c r="J3" s="1385" t="s">
        <v>526</v>
      </c>
      <c r="K3" s="1468"/>
      <c r="L3" s="1386"/>
    </row>
    <row r="4" spans="1:12" ht="37.5" customHeight="1">
      <c r="A4" s="6"/>
      <c r="B4" s="1458"/>
      <c r="C4" s="1209"/>
      <c r="D4" s="1097"/>
      <c r="E4" s="51" t="s">
        <v>527</v>
      </c>
      <c r="F4" s="5" t="s">
        <v>528</v>
      </c>
      <c r="G4" s="51" t="s">
        <v>529</v>
      </c>
      <c r="H4" s="52" t="s">
        <v>530</v>
      </c>
      <c r="I4" s="52" t="s">
        <v>529</v>
      </c>
      <c r="J4" s="1462" t="s">
        <v>530</v>
      </c>
      <c r="K4" s="1463"/>
      <c r="L4" s="52" t="s">
        <v>529</v>
      </c>
    </row>
    <row r="5" spans="1:12" ht="25.5" customHeight="1">
      <c r="A5" s="1" t="s">
        <v>531</v>
      </c>
      <c r="B5" s="1" t="s">
        <v>532</v>
      </c>
      <c r="C5" s="1209"/>
      <c r="D5" s="1097"/>
      <c r="E5" s="6"/>
      <c r="F5" s="6"/>
      <c r="G5" s="6"/>
      <c r="H5" s="6"/>
      <c r="I5" s="6"/>
      <c r="J5" s="1209"/>
      <c r="K5" s="1097"/>
      <c r="L5" s="6"/>
    </row>
    <row r="6" spans="1:12" ht="34.5" customHeight="1">
      <c r="A6" s="53">
        <v>1</v>
      </c>
      <c r="B6" s="5" t="s">
        <v>533</v>
      </c>
      <c r="C6" s="1224" t="s">
        <v>534</v>
      </c>
      <c r="D6" s="1225"/>
      <c r="E6" s="6"/>
      <c r="F6" s="6"/>
      <c r="G6" s="6"/>
      <c r="H6" s="6"/>
      <c r="I6" s="6"/>
      <c r="J6" s="1209"/>
      <c r="K6" s="1097"/>
      <c r="L6" s="6"/>
    </row>
    <row r="7" spans="1:12" ht="25.5" customHeight="1">
      <c r="A7" s="53">
        <v>2</v>
      </c>
      <c r="B7" s="3" t="s">
        <v>535</v>
      </c>
      <c r="C7" s="1209"/>
      <c r="D7" s="1097"/>
      <c r="E7" s="6"/>
      <c r="F7" s="6"/>
      <c r="G7" s="6"/>
      <c r="H7" s="6"/>
      <c r="I7" s="6"/>
      <c r="J7" s="1209"/>
      <c r="K7" s="1097"/>
      <c r="L7" s="6"/>
    </row>
    <row r="8" spans="1:12" ht="26.25" customHeight="1">
      <c r="A8" s="1" t="s">
        <v>536</v>
      </c>
      <c r="B8" s="1" t="s">
        <v>537</v>
      </c>
      <c r="C8" s="1209"/>
      <c r="D8" s="1097"/>
      <c r="E8" s="6"/>
      <c r="F8" s="6"/>
      <c r="G8" s="6"/>
      <c r="H8" s="6"/>
      <c r="I8" s="6"/>
      <c r="J8" s="1209"/>
      <c r="K8" s="1097"/>
      <c r="L8" s="6"/>
    </row>
    <row r="9" spans="1:12" ht="45" customHeight="1">
      <c r="A9" s="54">
        <v>3</v>
      </c>
      <c r="B9" s="5" t="s">
        <v>538</v>
      </c>
      <c r="C9" s="1453" t="s">
        <v>534</v>
      </c>
      <c r="D9" s="1454"/>
      <c r="E9" s="6"/>
      <c r="F9" s="6"/>
      <c r="G9" s="6"/>
      <c r="H9" s="6"/>
      <c r="I9" s="6"/>
      <c r="J9" s="1209"/>
      <c r="K9" s="1097"/>
      <c r="L9" s="6"/>
    </row>
    <row r="10" spans="1:12" ht="45" customHeight="1">
      <c r="A10" s="54">
        <v>4</v>
      </c>
      <c r="B10" s="5" t="s">
        <v>539</v>
      </c>
      <c r="C10" s="1453" t="s">
        <v>534</v>
      </c>
      <c r="D10" s="1454"/>
      <c r="E10" s="6"/>
      <c r="F10" s="6"/>
      <c r="G10" s="6"/>
      <c r="H10" s="6"/>
      <c r="I10" s="6"/>
      <c r="J10" s="1209"/>
      <c r="K10" s="1097"/>
      <c r="L10" s="6"/>
    </row>
    <row r="11" spans="1:12" ht="34.5" customHeight="1">
      <c r="A11" s="53">
        <v>5</v>
      </c>
      <c r="B11" s="5" t="s">
        <v>540</v>
      </c>
      <c r="C11" s="1224" t="s">
        <v>534</v>
      </c>
      <c r="D11" s="1225"/>
      <c r="E11" s="6"/>
      <c r="F11" s="6"/>
      <c r="G11" s="6"/>
      <c r="H11" s="6"/>
      <c r="I11" s="6"/>
      <c r="J11" s="1209"/>
      <c r="K11" s="1097"/>
      <c r="L11" s="6"/>
    </row>
    <row r="12" spans="1:12" ht="34.5" customHeight="1">
      <c r="A12" s="53">
        <v>6</v>
      </c>
      <c r="B12" s="5" t="s">
        <v>541</v>
      </c>
      <c r="C12" s="1224" t="s">
        <v>534</v>
      </c>
      <c r="D12" s="1225"/>
      <c r="E12" s="6"/>
      <c r="F12" s="6"/>
      <c r="G12" s="6"/>
      <c r="H12" s="6"/>
      <c r="I12" s="6"/>
      <c r="J12" s="1209"/>
      <c r="K12" s="1097"/>
      <c r="L12" s="6"/>
    </row>
    <row r="13" spans="1:12" ht="27" customHeight="1">
      <c r="A13" s="6"/>
      <c r="B13" s="3" t="s">
        <v>542</v>
      </c>
      <c r="C13" s="1209"/>
      <c r="D13" s="1097"/>
      <c r="E13" s="6"/>
      <c r="F13" s="6"/>
      <c r="G13" s="6"/>
      <c r="H13" s="6"/>
      <c r="I13" s="6"/>
      <c r="J13" s="1209"/>
      <c r="K13" s="1097"/>
      <c r="L13" s="6"/>
    </row>
    <row r="14" spans="1:12" ht="34.5" customHeight="1">
      <c r="A14" s="53">
        <v>7</v>
      </c>
      <c r="B14" s="5" t="s">
        <v>543</v>
      </c>
      <c r="C14" s="1224" t="s">
        <v>534</v>
      </c>
      <c r="D14" s="1225"/>
      <c r="E14" s="6"/>
      <c r="F14" s="6"/>
      <c r="G14" s="6"/>
      <c r="H14" s="6"/>
      <c r="I14" s="6"/>
      <c r="J14" s="1209"/>
      <c r="K14" s="1097"/>
      <c r="L14" s="6"/>
    </row>
    <row r="15" spans="1:12" ht="18" customHeight="1">
      <c r="A15" s="1" t="s">
        <v>544</v>
      </c>
      <c r="B15" s="1" t="s">
        <v>545</v>
      </c>
      <c r="C15" s="1089"/>
      <c r="D15" s="1091"/>
      <c r="E15" s="4"/>
      <c r="F15" s="4"/>
      <c r="G15" s="4"/>
      <c r="H15" s="4"/>
      <c r="I15" s="4"/>
      <c r="J15" s="1089"/>
      <c r="K15" s="1091"/>
      <c r="L15" s="4"/>
    </row>
    <row r="16" spans="1:12" ht="34.5" customHeight="1">
      <c r="A16" s="53">
        <v>8</v>
      </c>
      <c r="B16" s="5" t="s">
        <v>546</v>
      </c>
      <c r="C16" s="1224" t="s">
        <v>547</v>
      </c>
      <c r="D16" s="1225"/>
      <c r="E16" s="6"/>
      <c r="F16" s="6"/>
      <c r="G16" s="6"/>
      <c r="H16" s="6"/>
      <c r="I16" s="6"/>
      <c r="J16" s="1209"/>
      <c r="K16" s="1097"/>
      <c r="L16" s="6"/>
    </row>
    <row r="17" spans="1:12" ht="45" customHeight="1">
      <c r="A17" s="54">
        <v>9</v>
      </c>
      <c r="B17" s="5" t="s">
        <v>548</v>
      </c>
      <c r="C17" s="1453" t="s">
        <v>547</v>
      </c>
      <c r="D17" s="1454"/>
      <c r="E17" s="6"/>
      <c r="F17" s="6"/>
      <c r="G17" s="6"/>
      <c r="H17" s="6"/>
      <c r="I17" s="6"/>
      <c r="J17" s="1209"/>
      <c r="K17" s="1097"/>
      <c r="L17" s="6"/>
    </row>
    <row r="18" spans="1:12" ht="34.5" customHeight="1">
      <c r="A18" s="53">
        <v>10</v>
      </c>
      <c r="B18" s="5" t="s">
        <v>549</v>
      </c>
      <c r="C18" s="1209"/>
      <c r="D18" s="1097"/>
      <c r="E18" s="6"/>
      <c r="F18" s="6"/>
      <c r="G18" s="6"/>
      <c r="H18" s="6"/>
      <c r="I18" s="6"/>
      <c r="J18" s="1209"/>
      <c r="K18" s="1097"/>
      <c r="L18" s="6"/>
    </row>
    <row r="19" spans="1:12" ht="34.5" customHeight="1">
      <c r="A19" s="53">
        <v>11</v>
      </c>
      <c r="B19" s="5" t="s">
        <v>550</v>
      </c>
      <c r="C19" s="1224" t="s">
        <v>547</v>
      </c>
      <c r="D19" s="1225"/>
      <c r="E19" s="6"/>
      <c r="F19" s="6"/>
      <c r="G19" s="6"/>
      <c r="H19" s="6"/>
      <c r="I19" s="6"/>
      <c r="J19" s="1209"/>
      <c r="K19" s="1097"/>
      <c r="L19" s="6"/>
    </row>
    <row r="20" spans="1:12" ht="27.75" customHeight="1">
      <c r="A20" s="1" t="s">
        <v>551</v>
      </c>
      <c r="B20" s="1" t="s">
        <v>552</v>
      </c>
      <c r="C20" s="1209"/>
      <c r="D20" s="1097"/>
      <c r="E20" s="6"/>
      <c r="F20" s="6"/>
      <c r="G20" s="6"/>
      <c r="H20" s="6"/>
      <c r="I20" s="6"/>
      <c r="J20" s="1209"/>
      <c r="K20" s="1097"/>
      <c r="L20" s="6"/>
    </row>
    <row r="21" spans="1:12" ht="34.5" customHeight="1">
      <c r="A21" s="53">
        <v>12</v>
      </c>
      <c r="B21" s="5" t="s">
        <v>553</v>
      </c>
      <c r="C21" s="1224" t="s">
        <v>547</v>
      </c>
      <c r="D21" s="1225"/>
      <c r="E21" s="6"/>
      <c r="F21" s="6"/>
      <c r="G21" s="6"/>
      <c r="H21" s="6"/>
      <c r="I21" s="6"/>
      <c r="J21" s="1209"/>
      <c r="K21" s="1097"/>
      <c r="L21" s="6"/>
    </row>
    <row r="22" spans="1:12" ht="27.75" customHeight="1">
      <c r="A22" s="6"/>
      <c r="B22" s="13" t="s">
        <v>554</v>
      </c>
      <c r="C22" s="1209"/>
      <c r="D22" s="1097"/>
      <c r="E22" s="6"/>
      <c r="F22" s="6"/>
      <c r="G22" s="6"/>
      <c r="H22" s="6"/>
      <c r="I22" s="6"/>
      <c r="J22" s="1209"/>
      <c r="K22" s="1097"/>
      <c r="L22" s="6"/>
    </row>
    <row r="23" spans="1:12" ht="28.5" customHeight="1">
      <c r="A23" s="6"/>
      <c r="B23" s="13" t="s">
        <v>555</v>
      </c>
      <c r="C23" s="1209"/>
      <c r="D23" s="1097"/>
      <c r="E23" s="6"/>
      <c r="F23" s="6"/>
      <c r="G23" s="6"/>
      <c r="H23" s="6"/>
      <c r="I23" s="6"/>
      <c r="J23" s="1209"/>
      <c r="K23" s="1097"/>
      <c r="L23" s="6"/>
    </row>
    <row r="24" spans="1:12" ht="27.75" customHeight="1">
      <c r="A24" s="6"/>
      <c r="B24" s="13" t="s">
        <v>556</v>
      </c>
      <c r="C24" s="1209"/>
      <c r="D24" s="1097"/>
      <c r="E24" s="6"/>
      <c r="F24" s="6"/>
      <c r="G24" s="6"/>
      <c r="H24" s="6"/>
      <c r="I24" s="6"/>
      <c r="J24" s="1209"/>
      <c r="K24" s="1097"/>
      <c r="L24" s="6"/>
    </row>
    <row r="25" spans="1:12" ht="27.75" customHeight="1">
      <c r="A25" s="6"/>
      <c r="B25" s="13" t="s">
        <v>557</v>
      </c>
      <c r="C25" s="1209"/>
      <c r="D25" s="1097"/>
      <c r="E25" s="6"/>
      <c r="F25" s="6"/>
      <c r="G25" s="6"/>
      <c r="H25" s="6"/>
      <c r="I25" s="6"/>
      <c r="J25" s="1209"/>
      <c r="K25" s="1097"/>
      <c r="L25" s="6"/>
    </row>
    <row r="26" spans="1:12" ht="32.25" customHeight="1">
      <c r="A26" s="53">
        <v>13</v>
      </c>
      <c r="B26" s="3" t="s">
        <v>558</v>
      </c>
      <c r="C26" s="1224" t="s">
        <v>547</v>
      </c>
      <c r="D26" s="1225"/>
      <c r="E26" s="6"/>
      <c r="F26" s="6"/>
      <c r="G26" s="6"/>
      <c r="H26" s="6"/>
      <c r="I26" s="6"/>
      <c r="J26" s="1209"/>
      <c r="K26" s="1097"/>
      <c r="L26" s="6"/>
    </row>
    <row r="27" spans="1:12" ht="32.25" customHeight="1">
      <c r="A27" s="6"/>
      <c r="B27" s="3" t="s">
        <v>559</v>
      </c>
      <c r="C27" s="1209"/>
      <c r="D27" s="1097"/>
      <c r="E27" s="6"/>
      <c r="F27" s="6"/>
      <c r="G27" s="6"/>
      <c r="H27" s="6"/>
      <c r="I27" s="6"/>
      <c r="J27" s="1209"/>
      <c r="K27" s="1097"/>
      <c r="L27" s="6"/>
    </row>
    <row r="28" spans="1:12" ht="17.25" customHeight="1">
      <c r="A28" s="53">
        <v>14</v>
      </c>
      <c r="B28" s="3" t="s">
        <v>560</v>
      </c>
      <c r="C28" s="1224" t="s">
        <v>561</v>
      </c>
      <c r="D28" s="1225"/>
      <c r="E28" s="4"/>
      <c r="F28" s="4"/>
      <c r="G28" s="4"/>
      <c r="H28" s="4"/>
      <c r="I28" s="4"/>
      <c r="J28" s="1089"/>
      <c r="K28" s="1091"/>
      <c r="L28" s="4"/>
    </row>
    <row r="29" spans="1:12" ht="45" customHeight="1">
      <c r="A29" s="54">
        <v>15</v>
      </c>
      <c r="B29" s="5" t="s">
        <v>562</v>
      </c>
      <c r="C29" s="1453" t="s">
        <v>561</v>
      </c>
      <c r="D29" s="1454"/>
      <c r="E29" s="6"/>
      <c r="F29" s="6"/>
      <c r="G29" s="6"/>
      <c r="H29" s="6"/>
      <c r="I29" s="6"/>
      <c r="J29" s="1209"/>
      <c r="K29" s="1097"/>
      <c r="L29" s="6"/>
    </row>
    <row r="30" spans="1:12" ht="34.5" customHeight="1">
      <c r="A30" s="53">
        <v>16</v>
      </c>
      <c r="B30" s="5" t="s">
        <v>563</v>
      </c>
      <c r="C30" s="1224" t="s">
        <v>561</v>
      </c>
      <c r="D30" s="1225"/>
      <c r="E30" s="6"/>
      <c r="F30" s="6"/>
      <c r="G30" s="6"/>
      <c r="H30" s="6"/>
      <c r="I30" s="6"/>
      <c r="J30" s="1209"/>
      <c r="K30" s="1097"/>
      <c r="L30" s="6"/>
    </row>
    <row r="31" spans="1:12" ht="60" customHeight="1">
      <c r="A31" s="54">
        <v>17</v>
      </c>
      <c r="B31" s="5" t="s">
        <v>564</v>
      </c>
      <c r="C31" s="1453" t="s">
        <v>561</v>
      </c>
      <c r="D31" s="1454"/>
      <c r="E31" s="5"/>
      <c r="F31" s="5"/>
      <c r="G31" s="5"/>
      <c r="H31" s="5"/>
      <c r="I31" s="5"/>
      <c r="J31" s="1229"/>
      <c r="K31" s="1230"/>
      <c r="L31" s="5"/>
    </row>
    <row r="32" spans="1:12" ht="17.25" customHeight="1">
      <c r="A32" s="1" t="s">
        <v>565</v>
      </c>
      <c r="B32" s="1" t="s">
        <v>566</v>
      </c>
      <c r="C32" s="1089"/>
      <c r="D32" s="1091"/>
      <c r="E32" s="4"/>
      <c r="F32" s="4"/>
      <c r="G32" s="4"/>
      <c r="H32" s="4"/>
      <c r="I32" s="4"/>
      <c r="J32" s="1089"/>
      <c r="K32" s="1091"/>
      <c r="L32" s="4"/>
    </row>
    <row r="33" spans="1:12" ht="34.5" customHeight="1">
      <c r="A33" s="53">
        <v>18</v>
      </c>
      <c r="B33" s="5" t="s">
        <v>567</v>
      </c>
      <c r="C33" s="1224" t="s">
        <v>568</v>
      </c>
      <c r="D33" s="1225"/>
      <c r="E33" s="6"/>
      <c r="F33" s="6"/>
      <c r="G33" s="6"/>
      <c r="H33" s="6"/>
      <c r="I33" s="6"/>
      <c r="J33" s="1209"/>
      <c r="K33" s="1097"/>
      <c r="L33" s="6"/>
    </row>
    <row r="34" spans="1:12" ht="34.5" customHeight="1">
      <c r="A34" s="53">
        <v>19</v>
      </c>
      <c r="B34" s="5" t="s">
        <v>569</v>
      </c>
      <c r="C34" s="1209"/>
      <c r="D34" s="1097"/>
      <c r="E34" s="6"/>
      <c r="F34" s="6"/>
      <c r="G34" s="6"/>
      <c r="H34" s="6"/>
      <c r="I34" s="6"/>
      <c r="J34" s="1209"/>
      <c r="K34" s="1097"/>
      <c r="L34" s="6"/>
    </row>
    <row r="35" spans="1:12" ht="45" customHeight="1">
      <c r="A35" s="54">
        <v>20</v>
      </c>
      <c r="B35" s="5" t="s">
        <v>570</v>
      </c>
      <c r="C35" s="1224" t="s">
        <v>568</v>
      </c>
      <c r="D35" s="1225"/>
      <c r="E35" s="6"/>
      <c r="F35" s="6"/>
      <c r="G35" s="6"/>
      <c r="H35" s="6"/>
      <c r="I35" s="6"/>
      <c r="J35" s="1209"/>
      <c r="K35" s="1097"/>
      <c r="L35" s="6"/>
    </row>
    <row r="36" spans="1:12" ht="17.25" customHeight="1">
      <c r="A36" s="1" t="s">
        <v>571</v>
      </c>
      <c r="B36" s="1" t="s">
        <v>572</v>
      </c>
      <c r="C36" s="1089"/>
      <c r="D36" s="1091"/>
      <c r="E36" s="4"/>
      <c r="F36" s="4"/>
      <c r="G36" s="4"/>
      <c r="H36" s="4"/>
      <c r="I36" s="4"/>
      <c r="J36" s="1089"/>
      <c r="K36" s="1091"/>
      <c r="L36" s="4"/>
    </row>
    <row r="37" spans="1:12" ht="45" customHeight="1">
      <c r="A37" s="54">
        <v>21</v>
      </c>
      <c r="B37" s="5" t="s">
        <v>573</v>
      </c>
      <c r="C37" s="1453" t="s">
        <v>574</v>
      </c>
      <c r="D37" s="1454"/>
      <c r="E37" s="6"/>
      <c r="F37" s="6"/>
      <c r="G37" s="6"/>
      <c r="H37" s="6"/>
      <c r="I37" s="6"/>
      <c r="J37" s="1209"/>
      <c r="K37" s="1097"/>
      <c r="L37" s="6"/>
    </row>
    <row r="38" spans="1:12" ht="45" customHeight="1">
      <c r="A38" s="54">
        <v>22</v>
      </c>
      <c r="B38" s="5" t="s">
        <v>575</v>
      </c>
      <c r="C38" s="1453" t="s">
        <v>574</v>
      </c>
      <c r="D38" s="1454"/>
      <c r="E38" s="6"/>
      <c r="F38" s="6"/>
      <c r="G38" s="6"/>
      <c r="H38" s="6"/>
      <c r="I38" s="6"/>
      <c r="J38" s="1209"/>
      <c r="K38" s="1097"/>
      <c r="L38" s="6"/>
    </row>
    <row r="39" spans="1:12" ht="45" customHeight="1">
      <c r="A39" s="54">
        <v>23</v>
      </c>
      <c r="B39" s="5" t="s">
        <v>576</v>
      </c>
      <c r="C39" s="1449" t="s">
        <v>574</v>
      </c>
      <c r="D39" s="1450"/>
      <c r="E39" s="6"/>
      <c r="F39" s="6"/>
      <c r="G39" s="6"/>
      <c r="H39" s="6"/>
      <c r="I39" s="6"/>
      <c r="J39" s="1209"/>
      <c r="K39" s="1097"/>
      <c r="L39" s="6"/>
    </row>
    <row r="40" spans="1:12" ht="45" customHeight="1">
      <c r="A40" s="54">
        <v>24</v>
      </c>
      <c r="B40" s="5" t="s">
        <v>577</v>
      </c>
      <c r="C40" s="1449" t="s">
        <v>574</v>
      </c>
      <c r="D40" s="1450"/>
      <c r="E40" s="6"/>
      <c r="F40" s="6"/>
      <c r="G40" s="6"/>
      <c r="H40" s="6"/>
      <c r="I40" s="6"/>
      <c r="J40" s="1209"/>
      <c r="K40" s="1097"/>
      <c r="L40" s="6"/>
    </row>
    <row r="41" spans="1:12" ht="34.5" customHeight="1">
      <c r="A41" s="53">
        <v>25</v>
      </c>
      <c r="B41" s="5" t="s">
        <v>578</v>
      </c>
      <c r="C41" s="1451" t="s">
        <v>574</v>
      </c>
      <c r="D41" s="1452"/>
      <c r="E41" s="6"/>
      <c r="F41" s="6"/>
      <c r="G41" s="6"/>
      <c r="H41" s="6"/>
      <c r="I41" s="6"/>
      <c r="J41" s="1209"/>
      <c r="K41" s="1097"/>
      <c r="L41" s="6"/>
    </row>
    <row r="42" spans="1:12" ht="45" customHeight="1">
      <c r="A42" s="54">
        <v>26</v>
      </c>
      <c r="B42" s="5" t="s">
        <v>579</v>
      </c>
      <c r="C42" s="1449" t="s">
        <v>574</v>
      </c>
      <c r="D42" s="1450"/>
      <c r="E42" s="6"/>
      <c r="F42" s="6"/>
      <c r="G42" s="6"/>
      <c r="H42" s="6"/>
      <c r="I42" s="6"/>
      <c r="J42" s="1209"/>
      <c r="K42" s="1097"/>
      <c r="L42" s="6"/>
    </row>
    <row r="43" spans="1:12" ht="34.5" customHeight="1">
      <c r="A43" s="53">
        <v>27</v>
      </c>
      <c r="B43" s="5" t="s">
        <v>580</v>
      </c>
      <c r="C43" s="1451" t="s">
        <v>574</v>
      </c>
      <c r="D43" s="1452"/>
      <c r="E43" s="6"/>
      <c r="F43" s="6"/>
      <c r="G43" s="6"/>
      <c r="H43" s="6"/>
      <c r="I43" s="6"/>
      <c r="J43" s="1209"/>
      <c r="K43" s="1097"/>
      <c r="L43" s="6"/>
    </row>
    <row r="44" spans="1:12" ht="45" customHeight="1">
      <c r="A44" s="54">
        <v>28</v>
      </c>
      <c r="B44" s="5" t="s">
        <v>581</v>
      </c>
      <c r="C44" s="1449" t="s">
        <v>574</v>
      </c>
      <c r="D44" s="1450"/>
      <c r="E44" s="6"/>
      <c r="F44" s="6"/>
      <c r="G44" s="6"/>
      <c r="H44" s="6"/>
      <c r="I44" s="6"/>
      <c r="J44" s="1209"/>
      <c r="K44" s="1097"/>
      <c r="L44" s="6"/>
    </row>
    <row r="45" spans="1:12" ht="45" customHeight="1">
      <c r="A45" s="54">
        <v>29</v>
      </c>
      <c r="B45" s="5" t="s">
        <v>581</v>
      </c>
      <c r="C45" s="1449" t="s">
        <v>574</v>
      </c>
      <c r="D45" s="1450"/>
      <c r="E45" s="6"/>
      <c r="F45" s="6"/>
      <c r="G45" s="6"/>
      <c r="H45" s="6"/>
      <c r="I45" s="6"/>
      <c r="J45" s="1209"/>
      <c r="K45" s="1097"/>
      <c r="L45" s="6"/>
    </row>
    <row r="46" spans="1:12" ht="34.5" customHeight="1">
      <c r="A46" s="53">
        <v>30</v>
      </c>
      <c r="B46" s="5" t="s">
        <v>582</v>
      </c>
      <c r="C46" s="1451" t="s">
        <v>574</v>
      </c>
      <c r="D46" s="1452"/>
      <c r="E46" s="6"/>
      <c r="F46" s="6"/>
      <c r="G46" s="6"/>
      <c r="H46" s="6"/>
      <c r="I46" s="6"/>
      <c r="J46" s="1209"/>
      <c r="K46" s="1097"/>
      <c r="L46" s="6"/>
    </row>
    <row r="47" spans="1:13" ht="88.5" customHeight="1">
      <c r="A47" s="1436" t="s">
        <v>583</v>
      </c>
      <c r="B47" s="1436"/>
      <c r="C47" s="1436"/>
      <c r="D47" s="1436"/>
      <c r="E47" s="1436"/>
      <c r="F47" s="1436"/>
      <c r="G47" s="1436"/>
      <c r="H47" s="1436"/>
      <c r="I47" s="1436"/>
      <c r="J47" s="1436"/>
      <c r="K47" s="1436"/>
      <c r="L47" s="1436"/>
      <c r="M47" s="1436"/>
    </row>
  </sheetData>
  <sheetProtection/>
  <mergeCells count="100">
    <mergeCell ref="J4:K4"/>
    <mergeCell ref="H2:I2"/>
    <mergeCell ref="J2:L2"/>
    <mergeCell ref="C3:D3"/>
    <mergeCell ref="E3:G3"/>
    <mergeCell ref="H3:I3"/>
    <mergeCell ref="J3:L3"/>
    <mergeCell ref="C5:D5"/>
    <mergeCell ref="J5:K5"/>
    <mergeCell ref="A1:C1"/>
    <mergeCell ref="D1:J1"/>
    <mergeCell ref="K1:M1"/>
    <mergeCell ref="A2:A3"/>
    <mergeCell ref="B2:B4"/>
    <mergeCell ref="C2:D2"/>
    <mergeCell ref="E2:G2"/>
    <mergeCell ref="C4:D4"/>
    <mergeCell ref="C10:D10"/>
    <mergeCell ref="J10:K10"/>
    <mergeCell ref="C9:D9"/>
    <mergeCell ref="J9:K9"/>
    <mergeCell ref="C6:D6"/>
    <mergeCell ref="J6:K6"/>
    <mergeCell ref="C7:D7"/>
    <mergeCell ref="J7:K7"/>
    <mergeCell ref="C8:D8"/>
    <mergeCell ref="J8:K8"/>
    <mergeCell ref="C11:D11"/>
    <mergeCell ref="J11:K11"/>
    <mergeCell ref="C13:D13"/>
    <mergeCell ref="J13:K13"/>
    <mergeCell ref="C12:D12"/>
    <mergeCell ref="J12:K12"/>
    <mergeCell ref="C14:D14"/>
    <mergeCell ref="J14:K14"/>
    <mergeCell ref="C16:D16"/>
    <mergeCell ref="J16:K16"/>
    <mergeCell ref="C15:D15"/>
    <mergeCell ref="J15:K15"/>
    <mergeCell ref="C17:D17"/>
    <mergeCell ref="J17:K17"/>
    <mergeCell ref="C19:D19"/>
    <mergeCell ref="J19:K19"/>
    <mergeCell ref="C18:D18"/>
    <mergeCell ref="J18:K18"/>
    <mergeCell ref="C20:D20"/>
    <mergeCell ref="J20:K20"/>
    <mergeCell ref="C22:D22"/>
    <mergeCell ref="J22:K22"/>
    <mergeCell ref="C21:D21"/>
    <mergeCell ref="J21:K21"/>
    <mergeCell ref="C23:D23"/>
    <mergeCell ref="J23:K23"/>
    <mergeCell ref="C25:D25"/>
    <mergeCell ref="J25:K25"/>
    <mergeCell ref="C24:D24"/>
    <mergeCell ref="J24:K24"/>
    <mergeCell ref="C26:D26"/>
    <mergeCell ref="J26:K26"/>
    <mergeCell ref="C28:D28"/>
    <mergeCell ref="J28:K28"/>
    <mergeCell ref="C27:D27"/>
    <mergeCell ref="J27:K27"/>
    <mergeCell ref="C29:D29"/>
    <mergeCell ref="J29:K29"/>
    <mergeCell ref="C31:D31"/>
    <mergeCell ref="J31:K31"/>
    <mergeCell ref="C30:D30"/>
    <mergeCell ref="J30:K30"/>
    <mergeCell ref="C32:D32"/>
    <mergeCell ref="J32:K32"/>
    <mergeCell ref="C34:D34"/>
    <mergeCell ref="J34:K34"/>
    <mergeCell ref="C33:D33"/>
    <mergeCell ref="J33:K33"/>
    <mergeCell ref="C35:D35"/>
    <mergeCell ref="J35:K35"/>
    <mergeCell ref="C37:D37"/>
    <mergeCell ref="J37:K37"/>
    <mergeCell ref="C36:D36"/>
    <mergeCell ref="J36:K36"/>
    <mergeCell ref="C38:D38"/>
    <mergeCell ref="J38:K38"/>
    <mergeCell ref="C40:D40"/>
    <mergeCell ref="J40:K40"/>
    <mergeCell ref="C39:D39"/>
    <mergeCell ref="J39:K39"/>
    <mergeCell ref="C41:D41"/>
    <mergeCell ref="J41:K41"/>
    <mergeCell ref="C43:D43"/>
    <mergeCell ref="J43:K43"/>
    <mergeCell ref="C42:D42"/>
    <mergeCell ref="J42:K42"/>
    <mergeCell ref="A47:M47"/>
    <mergeCell ref="C44:D44"/>
    <mergeCell ref="J44:K44"/>
    <mergeCell ref="C45:D45"/>
    <mergeCell ref="J45:K45"/>
    <mergeCell ref="C46:D46"/>
    <mergeCell ref="J46:K46"/>
  </mergeCells>
  <printOptions/>
  <pageMargins left="0.7" right="0.7" top="0.75" bottom="0.75" header="0.3" footer="0.3"/>
  <pageSetup orientation="portrait" paperSize="9"/>
  <drawing r:id="rId1"/>
</worksheet>
</file>

<file path=xl/worksheets/sheet7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F1"/>
    </sheetView>
  </sheetViews>
  <sheetFormatPr defaultColWidth="9.33203125" defaultRowHeight="12.75"/>
  <cols>
    <col min="1" max="1" width="9.83203125" style="0" customWidth="1"/>
    <col min="2" max="2" width="45.83203125" style="0" customWidth="1"/>
    <col min="3" max="3" width="26.83203125" style="0" customWidth="1"/>
    <col min="4" max="4" width="15.16015625" style="0" customWidth="1"/>
    <col min="5" max="5" width="24.66015625" style="0" customWidth="1"/>
    <col min="6" max="6" width="14.5" style="0" customWidth="1"/>
    <col min="7" max="7" width="10.5" style="0" customWidth="1"/>
    <col min="8" max="8" width="24.66015625" style="0" customWidth="1"/>
    <col min="9" max="9" width="10.66015625" style="0" customWidth="1"/>
  </cols>
  <sheetData>
    <row r="1" spans="1:9" ht="119.25" customHeight="1">
      <c r="A1" s="1203" t="s">
        <v>350</v>
      </c>
      <c r="B1" s="1203"/>
      <c r="C1" s="1235" t="s">
        <v>584</v>
      </c>
      <c r="D1" s="1235"/>
      <c r="E1" s="1235"/>
      <c r="F1" s="1235"/>
      <c r="G1" s="1471" t="s">
        <v>585</v>
      </c>
      <c r="H1" s="1471"/>
      <c r="I1" s="1471"/>
    </row>
    <row r="2" spans="1:8" ht="15.75" customHeight="1">
      <c r="A2" s="1472" t="s">
        <v>398</v>
      </c>
      <c r="B2" s="1474" t="s">
        <v>586</v>
      </c>
      <c r="C2" s="1475"/>
      <c r="D2" s="1478" t="s">
        <v>239</v>
      </c>
      <c r="E2" s="57" t="s">
        <v>587</v>
      </c>
      <c r="F2" s="1480" t="s">
        <v>587</v>
      </c>
      <c r="G2" s="1481"/>
      <c r="H2" s="57" t="s">
        <v>587</v>
      </c>
    </row>
    <row r="3" spans="1:8" ht="54.75" customHeight="1">
      <c r="A3" s="1473"/>
      <c r="B3" s="1476"/>
      <c r="C3" s="1477"/>
      <c r="D3" s="1479"/>
      <c r="E3" s="5" t="s">
        <v>588</v>
      </c>
      <c r="F3" s="1229" t="s">
        <v>589</v>
      </c>
      <c r="G3" s="1230"/>
      <c r="H3" s="5" t="s">
        <v>590</v>
      </c>
    </row>
    <row r="4" spans="1:8" ht="30" customHeight="1">
      <c r="A4" s="58">
        <v>1</v>
      </c>
      <c r="B4" s="1469" t="s">
        <v>591</v>
      </c>
      <c r="C4" s="1470"/>
      <c r="D4" s="20" t="s">
        <v>592</v>
      </c>
      <c r="E4" s="6"/>
      <c r="F4" s="1209"/>
      <c r="G4" s="1097"/>
      <c r="H4" s="6"/>
    </row>
    <row r="5" spans="1:8" ht="30.75" customHeight="1">
      <c r="A5" s="58">
        <v>2</v>
      </c>
      <c r="B5" s="1469" t="s">
        <v>593</v>
      </c>
      <c r="C5" s="1470"/>
      <c r="D5" s="20" t="s">
        <v>592</v>
      </c>
      <c r="E5" s="6"/>
      <c r="F5" s="1209"/>
      <c r="G5" s="1097"/>
      <c r="H5" s="6"/>
    </row>
    <row r="6" spans="1:8" ht="15.75" customHeight="1">
      <c r="A6" s="58">
        <v>3</v>
      </c>
      <c r="B6" s="1469" t="s">
        <v>594</v>
      </c>
      <c r="C6" s="1470"/>
      <c r="D6" s="20" t="s">
        <v>592</v>
      </c>
      <c r="E6" s="4"/>
      <c r="F6" s="1089"/>
      <c r="G6" s="1091"/>
      <c r="H6" s="4"/>
    </row>
    <row r="7" spans="1:8" ht="15.75" customHeight="1">
      <c r="A7" s="58">
        <v>4</v>
      </c>
      <c r="B7" s="1469" t="s">
        <v>595</v>
      </c>
      <c r="C7" s="1470"/>
      <c r="D7" s="20" t="s">
        <v>592</v>
      </c>
      <c r="E7" s="4"/>
      <c r="F7" s="1089"/>
      <c r="G7" s="1091"/>
      <c r="H7" s="4"/>
    </row>
    <row r="8" spans="1:8" ht="30" customHeight="1">
      <c r="A8" s="58">
        <v>5</v>
      </c>
      <c r="B8" s="1469" t="s">
        <v>596</v>
      </c>
      <c r="C8" s="1470"/>
      <c r="D8" s="20" t="s">
        <v>597</v>
      </c>
      <c r="E8" s="6"/>
      <c r="F8" s="1209"/>
      <c r="G8" s="1097"/>
      <c r="H8" s="6"/>
    </row>
    <row r="9" spans="1:8" ht="31.5" customHeight="1">
      <c r="A9" s="58">
        <v>6</v>
      </c>
      <c r="B9" s="1229" t="s">
        <v>598</v>
      </c>
      <c r="C9" s="1230"/>
      <c r="D9" s="20" t="s">
        <v>597</v>
      </c>
      <c r="E9" s="6"/>
      <c r="F9" s="1209"/>
      <c r="G9" s="1097"/>
      <c r="H9" s="6"/>
    </row>
    <row r="10" spans="1:8" ht="15.75" customHeight="1">
      <c r="A10" s="58">
        <v>7</v>
      </c>
      <c r="B10" s="1469" t="s">
        <v>599</v>
      </c>
      <c r="C10" s="1470"/>
      <c r="D10" s="20" t="s">
        <v>597</v>
      </c>
      <c r="E10" s="4"/>
      <c r="F10" s="1089"/>
      <c r="G10" s="1091"/>
      <c r="H10" s="4"/>
    </row>
    <row r="11" spans="1:8" ht="15.75" customHeight="1">
      <c r="A11" s="58">
        <v>8</v>
      </c>
      <c r="B11" s="1469" t="s">
        <v>600</v>
      </c>
      <c r="C11" s="1470"/>
      <c r="D11" s="20" t="s">
        <v>601</v>
      </c>
      <c r="E11" s="4"/>
      <c r="F11" s="1089"/>
      <c r="G11" s="1091"/>
      <c r="H11" s="4"/>
    </row>
    <row r="12" spans="1:8" ht="29.25" customHeight="1">
      <c r="A12" s="58">
        <v>9</v>
      </c>
      <c r="B12" s="1469" t="s">
        <v>602</v>
      </c>
      <c r="C12" s="1470"/>
      <c r="D12" s="20" t="s">
        <v>601</v>
      </c>
      <c r="E12" s="6"/>
      <c r="F12" s="1209"/>
      <c r="G12" s="1097"/>
      <c r="H12" s="6"/>
    </row>
    <row r="13" spans="1:8" ht="15.75" customHeight="1">
      <c r="A13" s="58">
        <v>10</v>
      </c>
      <c r="B13" s="1469" t="s">
        <v>603</v>
      </c>
      <c r="C13" s="1470"/>
      <c r="D13" s="20" t="s">
        <v>601</v>
      </c>
      <c r="E13" s="4"/>
      <c r="F13" s="1089"/>
      <c r="G13" s="1091"/>
      <c r="H13" s="4"/>
    </row>
    <row r="14" spans="1:8" ht="19.5" customHeight="1">
      <c r="A14" s="58">
        <v>11</v>
      </c>
      <c r="B14" s="1469" t="s">
        <v>604</v>
      </c>
      <c r="C14" s="1470"/>
      <c r="D14" s="20" t="s">
        <v>601</v>
      </c>
      <c r="E14" s="4"/>
      <c r="F14" s="1089"/>
      <c r="G14" s="1091"/>
      <c r="H14" s="4"/>
    </row>
    <row r="15" spans="1:8" ht="31.5" customHeight="1">
      <c r="A15" s="58">
        <v>12</v>
      </c>
      <c r="B15" s="1229" t="s">
        <v>605</v>
      </c>
      <c r="C15" s="1230"/>
      <c r="D15" s="20" t="s">
        <v>601</v>
      </c>
      <c r="E15" s="6"/>
      <c r="F15" s="1209"/>
      <c r="G15" s="1097"/>
      <c r="H15" s="6"/>
    </row>
  </sheetData>
  <sheetProtection/>
  <mergeCells count="32">
    <mergeCell ref="A1:B1"/>
    <mergeCell ref="C1:F1"/>
    <mergeCell ref="G1:I1"/>
    <mergeCell ref="A2:A3"/>
    <mergeCell ref="B2:C3"/>
    <mergeCell ref="D2:D3"/>
    <mergeCell ref="F2:G2"/>
    <mergeCell ref="F3:G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3" footer="0.3"/>
  <pageSetup orientation="portrait" paperSize="9"/>
  <drawing r:id="rId1"/>
</worksheet>
</file>

<file path=xl/worksheets/sheet7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G1"/>
    </sheetView>
  </sheetViews>
  <sheetFormatPr defaultColWidth="9.33203125" defaultRowHeight="12.75"/>
  <cols>
    <col min="1" max="1" width="9.5" style="0" customWidth="1"/>
    <col min="2" max="2" width="20.66015625" style="0" customWidth="1"/>
    <col min="3" max="3" width="27.5" style="0" customWidth="1"/>
    <col min="4" max="4" width="1.171875" style="0" customWidth="1"/>
    <col min="5" max="5" width="27.83203125" style="0" customWidth="1"/>
    <col min="6" max="6" width="26.66015625" style="0" customWidth="1"/>
    <col min="7" max="7" width="14.16015625" style="0" customWidth="1"/>
    <col min="8" max="8" width="13.83203125" style="0" customWidth="1"/>
    <col min="9" max="9" width="27.66015625" style="0" customWidth="1"/>
    <col min="10" max="10" width="4.83203125" style="0" customWidth="1"/>
  </cols>
  <sheetData>
    <row r="1" spans="1:10" ht="138.75" customHeight="1">
      <c r="A1" s="1203" t="s">
        <v>350</v>
      </c>
      <c r="B1" s="1203"/>
      <c r="C1" s="1203"/>
      <c r="D1" s="1482" t="s">
        <v>606</v>
      </c>
      <c r="E1" s="1482"/>
      <c r="F1" s="1482"/>
      <c r="G1" s="1482"/>
      <c r="H1" s="1483" t="s">
        <v>607</v>
      </c>
      <c r="I1" s="1483"/>
      <c r="J1" s="1483"/>
    </row>
    <row r="2" spans="1:9" ht="43.5" customHeight="1">
      <c r="A2" s="27" t="s">
        <v>273</v>
      </c>
      <c r="B2" s="1464" t="s">
        <v>608</v>
      </c>
      <c r="C2" s="1466"/>
      <c r="D2" s="1465"/>
      <c r="E2" s="27" t="s">
        <v>609</v>
      </c>
      <c r="F2" s="27" t="s">
        <v>610</v>
      </c>
      <c r="G2" s="1447" t="s">
        <v>611</v>
      </c>
      <c r="H2" s="1448"/>
      <c r="I2" s="8" t="s">
        <v>612</v>
      </c>
    </row>
    <row r="3" spans="1:9" ht="17.25" customHeight="1">
      <c r="A3" s="4"/>
      <c r="B3" s="1" t="s">
        <v>613</v>
      </c>
      <c r="C3" s="1215" t="s">
        <v>614</v>
      </c>
      <c r="D3" s="1100"/>
      <c r="E3" s="4"/>
      <c r="F3" s="4"/>
      <c r="G3" s="1089"/>
      <c r="H3" s="1091"/>
      <c r="I3" s="4"/>
    </row>
    <row r="4" spans="1:9" ht="30" customHeight="1">
      <c r="A4" s="9">
        <v>1</v>
      </c>
      <c r="B4" s="6"/>
      <c r="C4" s="1209"/>
      <c r="D4" s="1097"/>
      <c r="E4" s="6"/>
      <c r="F4" s="6"/>
      <c r="G4" s="1209"/>
      <c r="H4" s="1097"/>
      <c r="I4" s="6"/>
    </row>
    <row r="5" spans="1:9" ht="30.75" customHeight="1">
      <c r="A5" s="9">
        <v>2</v>
      </c>
      <c r="B5" s="6"/>
      <c r="C5" s="1209"/>
      <c r="D5" s="1097"/>
      <c r="E5" s="6"/>
      <c r="F5" s="6"/>
      <c r="G5" s="1209"/>
      <c r="H5" s="1097"/>
      <c r="I5" s="6"/>
    </row>
    <row r="6" spans="1:9" ht="31.5" customHeight="1">
      <c r="A6" s="9">
        <v>3</v>
      </c>
      <c r="B6" s="6"/>
      <c r="C6" s="1209"/>
      <c r="D6" s="1097"/>
      <c r="E6" s="6"/>
      <c r="F6" s="6"/>
      <c r="G6" s="1209"/>
      <c r="H6" s="1097"/>
      <c r="I6" s="6"/>
    </row>
    <row r="7" spans="1:9" ht="31.5" customHeight="1">
      <c r="A7" s="9">
        <v>4</v>
      </c>
      <c r="B7" s="6"/>
      <c r="C7" s="1209"/>
      <c r="D7" s="1097"/>
      <c r="E7" s="6"/>
      <c r="F7" s="6"/>
      <c r="G7" s="1209"/>
      <c r="H7" s="1097"/>
      <c r="I7" s="6"/>
    </row>
    <row r="8" spans="1:9" ht="30.75" customHeight="1">
      <c r="A8" s="9">
        <v>5</v>
      </c>
      <c r="B8" s="6"/>
      <c r="C8" s="1209"/>
      <c r="D8" s="1097"/>
      <c r="E8" s="6"/>
      <c r="F8" s="6"/>
      <c r="G8" s="1209"/>
      <c r="H8" s="1097"/>
      <c r="I8" s="6"/>
    </row>
    <row r="9" spans="1:9" ht="31.5" customHeight="1">
      <c r="A9" s="9">
        <v>6</v>
      </c>
      <c r="B9" s="6"/>
      <c r="C9" s="1209"/>
      <c r="D9" s="1097"/>
      <c r="E9" s="6"/>
      <c r="F9" s="6"/>
      <c r="G9" s="1209"/>
      <c r="H9" s="1097"/>
      <c r="I9" s="6"/>
    </row>
    <row r="10" spans="1:9" ht="31.5" customHeight="1">
      <c r="A10" s="9">
        <v>7</v>
      </c>
      <c r="B10" s="6"/>
      <c r="C10" s="1209"/>
      <c r="D10" s="1097"/>
      <c r="E10" s="6"/>
      <c r="F10" s="6"/>
      <c r="G10" s="1209"/>
      <c r="H10" s="1097"/>
      <c r="I10" s="6"/>
    </row>
    <row r="11" spans="1:9" ht="30.75" customHeight="1">
      <c r="A11" s="9">
        <v>8</v>
      </c>
      <c r="B11" s="6"/>
      <c r="C11" s="1209"/>
      <c r="D11" s="1097"/>
      <c r="E11" s="6"/>
      <c r="F11" s="6"/>
      <c r="G11" s="1209"/>
      <c r="H11" s="1097"/>
      <c r="I11" s="6"/>
    </row>
    <row r="12" spans="1:10" ht="17.25" customHeight="1">
      <c r="A12" s="1437" t="s">
        <v>137</v>
      </c>
      <c r="B12" s="1437"/>
      <c r="C12" s="1437"/>
      <c r="D12" s="1437"/>
      <c r="E12" s="1437"/>
      <c r="F12" s="1437"/>
      <c r="G12" s="1437"/>
      <c r="H12" s="1437"/>
      <c r="I12" s="1437"/>
      <c r="J12" s="1437"/>
    </row>
  </sheetData>
  <sheetProtection/>
  <mergeCells count="24">
    <mergeCell ref="C3:D3"/>
    <mergeCell ref="G3:H3"/>
    <mergeCell ref="A1:C1"/>
    <mergeCell ref="D1:G1"/>
    <mergeCell ref="H1:J1"/>
    <mergeCell ref="B2:D2"/>
    <mergeCell ref="G2:H2"/>
    <mergeCell ref="C8:D8"/>
    <mergeCell ref="G8:H8"/>
    <mergeCell ref="C7:D7"/>
    <mergeCell ref="G7:H7"/>
    <mergeCell ref="C4:D4"/>
    <mergeCell ref="G4:H4"/>
    <mergeCell ref="C5:D5"/>
    <mergeCell ref="G5:H5"/>
    <mergeCell ref="C6:D6"/>
    <mergeCell ref="G6:H6"/>
    <mergeCell ref="A12:J12"/>
    <mergeCell ref="C9:D9"/>
    <mergeCell ref="G9:H9"/>
    <mergeCell ref="C10:D10"/>
    <mergeCell ref="G10:H10"/>
    <mergeCell ref="C11:D11"/>
    <mergeCell ref="G11:H11"/>
  </mergeCells>
  <printOptions/>
  <pageMargins left="0.16" right="0.16" top="0.39" bottom="0.33" header="0.3" footer="0.3"/>
  <pageSetup horizontalDpi="600" verticalDpi="600" orientation="landscape" scale="90" r:id="rId2"/>
  <drawing r:id="rId1"/>
</worksheet>
</file>

<file path=xl/worksheets/sheet74.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F1"/>
    </sheetView>
  </sheetViews>
  <sheetFormatPr defaultColWidth="9.33203125" defaultRowHeight="12.75"/>
  <cols>
    <col min="1" max="1" width="11.33203125" style="0" customWidth="1"/>
    <col min="2" max="2" width="60" style="0" customWidth="1"/>
    <col min="3" max="3" width="18.16015625" style="0" customWidth="1"/>
    <col min="4" max="4" width="15.5" style="0" customWidth="1"/>
    <col min="5" max="5" width="18.16015625" style="0" customWidth="1"/>
    <col min="6" max="6" width="7.33203125" style="0" customWidth="1"/>
    <col min="7" max="7" width="9.5" style="0" customWidth="1"/>
    <col min="8" max="8" width="15.5" style="0" customWidth="1"/>
    <col min="9" max="9" width="15.83203125" style="0" customWidth="1"/>
    <col min="10" max="10" width="10.16015625" style="0" customWidth="1"/>
  </cols>
  <sheetData>
    <row r="1" spans="1:10" ht="57.75" customHeight="1">
      <c r="A1" s="1484" t="s">
        <v>615</v>
      </c>
      <c r="B1" s="1484"/>
      <c r="C1" s="1484"/>
      <c r="D1" s="1484"/>
      <c r="E1" s="1484"/>
      <c r="F1" s="1484"/>
      <c r="G1" s="1485" t="s">
        <v>616</v>
      </c>
      <c r="H1" s="1485"/>
      <c r="I1" s="1485"/>
      <c r="J1" s="1485"/>
    </row>
    <row r="2" spans="1:10" ht="34.5" customHeight="1">
      <c r="A2" s="1436" t="s">
        <v>350</v>
      </c>
      <c r="B2" s="1436"/>
      <c r="C2" s="1436"/>
      <c r="D2" s="1436"/>
      <c r="E2" s="1436"/>
      <c r="F2" s="1436"/>
      <c r="G2" s="1436"/>
      <c r="H2" s="1436"/>
      <c r="I2" s="1436"/>
      <c r="J2" s="1436"/>
    </row>
    <row r="3" spans="1:9" ht="34.5" customHeight="1">
      <c r="A3" s="1" t="s">
        <v>92</v>
      </c>
      <c r="B3" s="1" t="s">
        <v>617</v>
      </c>
      <c r="C3" s="33" t="s">
        <v>111</v>
      </c>
      <c r="D3" s="8" t="s">
        <v>112</v>
      </c>
      <c r="E3" s="7" t="s">
        <v>113</v>
      </c>
      <c r="F3" s="1401" t="s">
        <v>114</v>
      </c>
      <c r="G3" s="1402"/>
      <c r="H3" s="7" t="s">
        <v>115</v>
      </c>
      <c r="I3" s="7" t="s">
        <v>116</v>
      </c>
    </row>
    <row r="4" spans="1:9" ht="44.25" customHeight="1">
      <c r="A4" s="59">
        <v>1</v>
      </c>
      <c r="B4" s="60" t="s">
        <v>618</v>
      </c>
      <c r="C4" s="6"/>
      <c r="D4" s="6"/>
      <c r="E4" s="6"/>
      <c r="F4" s="1209"/>
      <c r="G4" s="1097"/>
      <c r="H4" s="6"/>
      <c r="I4" s="6"/>
    </row>
    <row r="5" spans="1:9" ht="31.5" customHeight="1">
      <c r="A5" s="10">
        <v>2</v>
      </c>
      <c r="B5" s="3" t="s">
        <v>619</v>
      </c>
      <c r="C5" s="6"/>
      <c r="D5" s="6"/>
      <c r="E5" s="6"/>
      <c r="F5" s="1209"/>
      <c r="G5" s="1097"/>
      <c r="H5" s="6"/>
      <c r="I5" s="6"/>
    </row>
    <row r="6" spans="1:9" ht="44.25" customHeight="1">
      <c r="A6" s="59">
        <v>3</v>
      </c>
      <c r="B6" s="60" t="s">
        <v>620</v>
      </c>
      <c r="C6" s="6"/>
      <c r="D6" s="6"/>
      <c r="E6" s="6"/>
      <c r="F6" s="1209"/>
      <c r="G6" s="1097"/>
      <c r="H6" s="6"/>
      <c r="I6" s="6"/>
    </row>
    <row r="7" spans="1:10" ht="15.75" customHeight="1">
      <c r="A7" s="1436" t="s">
        <v>621</v>
      </c>
      <c r="B7" s="1436"/>
      <c r="C7" s="1436"/>
      <c r="D7" s="1436"/>
      <c r="E7" s="1436"/>
      <c r="F7" s="1436"/>
      <c r="G7" s="1436"/>
      <c r="H7" s="1436"/>
      <c r="I7" s="1436"/>
      <c r="J7" s="1436"/>
    </row>
    <row r="8" spans="1:10" ht="17.25" customHeight="1">
      <c r="A8" s="1437" t="s">
        <v>137</v>
      </c>
      <c r="B8" s="1437"/>
      <c r="C8" s="1437"/>
      <c r="D8" s="1437"/>
      <c r="E8" s="1437"/>
      <c r="F8" s="1437"/>
      <c r="G8" s="1437"/>
      <c r="H8" s="1437"/>
      <c r="I8" s="1437"/>
      <c r="J8" s="1437"/>
    </row>
  </sheetData>
  <sheetProtection/>
  <mergeCells count="9">
    <mergeCell ref="F5:G5"/>
    <mergeCell ref="F6:G6"/>
    <mergeCell ref="A7:J7"/>
    <mergeCell ref="A8:J8"/>
    <mergeCell ref="A1:F1"/>
    <mergeCell ref="G1:J1"/>
    <mergeCell ref="A2:J2"/>
    <mergeCell ref="F3:G3"/>
    <mergeCell ref="F4:G4"/>
  </mergeCells>
  <printOptions/>
  <pageMargins left="0.7" right="0.7" top="0.75" bottom="0.75" header="0.3" footer="0.3"/>
  <pageSetup orientation="portrait" paperSize="9"/>
  <drawing r:id="rId1"/>
</worksheet>
</file>

<file path=xl/worksheets/sheet75.xml><?xml version="1.0" encoding="utf-8"?>
<worksheet xmlns="http://schemas.openxmlformats.org/spreadsheetml/2006/main" xmlns:r="http://schemas.openxmlformats.org/officeDocument/2006/relationships">
  <dimension ref="A1:K10"/>
  <sheetViews>
    <sheetView zoomScalePageLayoutView="0" workbookViewId="0" topLeftCell="A1">
      <selection activeCell="E16" sqref="E16"/>
    </sheetView>
  </sheetViews>
  <sheetFormatPr defaultColWidth="9.33203125" defaultRowHeight="12.75"/>
  <cols>
    <col min="1" max="1" width="7.83203125" style="0" customWidth="1"/>
    <col min="2" max="2" width="17.16015625" style="0" customWidth="1"/>
    <col min="3" max="3" width="17.83203125" style="0" customWidth="1"/>
    <col min="4" max="4" width="16.16015625" style="0" customWidth="1"/>
    <col min="5" max="5" width="13.33203125" style="0" customWidth="1"/>
    <col min="6" max="6" width="22.5" style="0" customWidth="1"/>
    <col min="7" max="7" width="24" style="0" customWidth="1"/>
    <col min="8" max="8" width="9.5" style="0" customWidth="1"/>
    <col min="9" max="9" width="14.66015625" style="0" customWidth="1"/>
    <col min="10" max="10" width="24.16015625" style="0" customWidth="1"/>
    <col min="11" max="11" width="10.66015625" style="0" customWidth="1"/>
  </cols>
  <sheetData>
    <row r="1" spans="1:11" ht="121.5" customHeight="1">
      <c r="A1" s="1203" t="s">
        <v>350</v>
      </c>
      <c r="B1" s="1203"/>
      <c r="C1" s="1203"/>
      <c r="D1" s="1203"/>
      <c r="E1" s="1211" t="s">
        <v>622</v>
      </c>
      <c r="F1" s="1211"/>
      <c r="G1" s="1211"/>
      <c r="H1" s="1211"/>
      <c r="I1" s="1212" t="s">
        <v>623</v>
      </c>
      <c r="J1" s="1212"/>
      <c r="K1" s="970"/>
    </row>
    <row r="2" spans="1:10" ht="65.25" customHeight="1">
      <c r="A2" s="1213" t="s">
        <v>273</v>
      </c>
      <c r="B2" s="1076" t="s">
        <v>624</v>
      </c>
      <c r="C2" s="1078"/>
      <c r="D2" s="1205" t="s">
        <v>625</v>
      </c>
      <c r="E2" s="1206"/>
      <c r="F2" s="2" t="s">
        <v>626</v>
      </c>
      <c r="G2" s="27" t="s">
        <v>627</v>
      </c>
      <c r="H2" s="1215" t="s">
        <v>628</v>
      </c>
      <c r="I2" s="1100"/>
      <c r="J2" s="50" t="s">
        <v>629</v>
      </c>
    </row>
    <row r="3" spans="1:10" ht="53.25" customHeight="1">
      <c r="A3" s="1214"/>
      <c r="B3" s="25" t="s">
        <v>630</v>
      </c>
      <c r="C3" s="61" t="s">
        <v>631</v>
      </c>
      <c r="D3" s="1205" t="s">
        <v>632</v>
      </c>
      <c r="E3" s="1206"/>
      <c r="F3" s="62" t="s">
        <v>632</v>
      </c>
      <c r="G3" s="6"/>
      <c r="H3" s="1209"/>
      <c r="I3" s="1097"/>
      <c r="J3" s="6"/>
    </row>
    <row r="4" spans="1:10" ht="18" customHeight="1">
      <c r="A4" s="9">
        <v>1</v>
      </c>
      <c r="B4" s="4"/>
      <c r="C4" s="4"/>
      <c r="D4" s="1089"/>
      <c r="E4" s="1091"/>
      <c r="F4" s="4"/>
      <c r="G4" s="4"/>
      <c r="H4" s="1089"/>
      <c r="I4" s="1091"/>
      <c r="J4" s="4"/>
    </row>
    <row r="5" spans="1:10" ht="17.25" customHeight="1">
      <c r="A5" s="9">
        <v>2</v>
      </c>
      <c r="B5" s="4"/>
      <c r="C5" s="4"/>
      <c r="D5" s="1089"/>
      <c r="E5" s="1091"/>
      <c r="F5" s="4"/>
      <c r="G5" s="4"/>
      <c r="H5" s="1089"/>
      <c r="I5" s="1091"/>
      <c r="J5" s="4"/>
    </row>
    <row r="6" spans="1:10" ht="17.25" customHeight="1">
      <c r="A6" s="9">
        <v>3</v>
      </c>
      <c r="B6" s="4"/>
      <c r="C6" s="4"/>
      <c r="D6" s="1089"/>
      <c r="E6" s="1091"/>
      <c r="F6" s="4"/>
      <c r="G6" s="4"/>
      <c r="H6" s="1089"/>
      <c r="I6" s="1091"/>
      <c r="J6" s="4"/>
    </row>
    <row r="7" spans="1:10" ht="17.25" customHeight="1">
      <c r="A7" s="9">
        <v>4</v>
      </c>
      <c r="B7" s="4"/>
      <c r="C7" s="4"/>
      <c r="D7" s="1089"/>
      <c r="E7" s="1091"/>
      <c r="F7" s="4"/>
      <c r="G7" s="4"/>
      <c r="H7" s="1089"/>
      <c r="I7" s="1091"/>
      <c r="J7" s="4"/>
    </row>
    <row r="8" spans="1:10" ht="17.25" customHeight="1">
      <c r="A8" s="9">
        <v>5</v>
      </c>
      <c r="B8" s="4"/>
      <c r="C8" s="4"/>
      <c r="D8" s="1089"/>
      <c r="E8" s="1091"/>
      <c r="F8" s="4"/>
      <c r="G8" s="4"/>
      <c r="H8" s="1089"/>
      <c r="I8" s="1091"/>
      <c r="J8" s="4"/>
    </row>
    <row r="9" spans="1:10" ht="17.25" customHeight="1">
      <c r="A9" s="9">
        <v>6</v>
      </c>
      <c r="B9" s="4"/>
      <c r="C9" s="4"/>
      <c r="D9" s="1089"/>
      <c r="E9" s="1091"/>
      <c r="F9" s="4"/>
      <c r="G9" s="4"/>
      <c r="H9" s="1089"/>
      <c r="I9" s="1091"/>
      <c r="J9" s="4"/>
    </row>
    <row r="10" spans="1:11" ht="17.25" customHeight="1">
      <c r="A10" s="1210" t="s">
        <v>137</v>
      </c>
      <c r="B10" s="1210"/>
      <c r="C10" s="1210"/>
      <c r="D10" s="1210"/>
      <c r="E10" s="1210"/>
      <c r="F10" s="1210"/>
      <c r="G10" s="1210"/>
      <c r="H10" s="1210"/>
      <c r="I10" s="1210"/>
      <c r="J10" s="1210"/>
      <c r="K10" s="982"/>
    </row>
  </sheetData>
  <sheetProtection/>
  <mergeCells count="22">
    <mergeCell ref="A1:D1"/>
    <mergeCell ref="E1:H1"/>
    <mergeCell ref="A2:A3"/>
    <mergeCell ref="B2:C2"/>
    <mergeCell ref="D2:E2"/>
    <mergeCell ref="H2:I2"/>
    <mergeCell ref="D3:E3"/>
    <mergeCell ref="H3:I3"/>
    <mergeCell ref="I1:J1"/>
    <mergeCell ref="D4:E4"/>
    <mergeCell ref="H4:I4"/>
    <mergeCell ref="D5:E5"/>
    <mergeCell ref="H5:I5"/>
    <mergeCell ref="D6:E6"/>
    <mergeCell ref="H6:I6"/>
    <mergeCell ref="A10:J10"/>
    <mergeCell ref="D7:E7"/>
    <mergeCell ref="H7:I7"/>
    <mergeCell ref="D8:E8"/>
    <mergeCell ref="H8:I8"/>
    <mergeCell ref="D9:E9"/>
    <mergeCell ref="H9:I9"/>
  </mergeCells>
  <printOptions/>
  <pageMargins left="0.16" right="0.16" top="0.46" bottom="0.39" header="0.3" footer="0.3"/>
  <pageSetup horizontalDpi="600" verticalDpi="600" orientation="landscape" scale="90" r:id="rId2"/>
  <drawing r:id="rId1"/>
</worksheet>
</file>

<file path=xl/worksheets/sheet76.xml><?xml version="1.0" encoding="utf-8"?>
<worksheet xmlns="http://schemas.openxmlformats.org/spreadsheetml/2006/main" xmlns:r="http://schemas.openxmlformats.org/officeDocument/2006/relationships">
  <dimension ref="A1:G8"/>
  <sheetViews>
    <sheetView zoomScalePageLayoutView="0" workbookViewId="0" topLeftCell="A1">
      <selection activeCell="A12" sqref="A12"/>
    </sheetView>
  </sheetViews>
  <sheetFormatPr defaultColWidth="9.33203125" defaultRowHeight="12.75"/>
  <cols>
    <col min="1" max="1" width="52" style="0" customWidth="1"/>
    <col min="2" max="2" width="6.16015625" style="0" customWidth="1"/>
    <col min="3" max="3" width="33.33203125" style="0" customWidth="1"/>
    <col min="4" max="4" width="40.16015625" style="0" customWidth="1"/>
    <col min="5" max="5" width="2.5" style="0" customWidth="1"/>
    <col min="6" max="6" width="37.83203125" style="0" customWidth="1"/>
    <col min="7" max="7" width="10.5" style="0" customWidth="1"/>
  </cols>
  <sheetData>
    <row r="1" spans="1:7" ht="121.5" customHeight="1">
      <c r="A1" s="1203" t="s">
        <v>350</v>
      </c>
      <c r="B1" s="1203"/>
      <c r="C1" s="1204" t="s">
        <v>633</v>
      </c>
      <c r="D1" s="1204"/>
      <c r="E1" s="1204"/>
      <c r="F1" s="959" t="s">
        <v>634</v>
      </c>
      <c r="G1" s="970"/>
    </row>
    <row r="2" spans="1:6" ht="44.25" customHeight="1">
      <c r="A2" s="39" t="s">
        <v>109</v>
      </c>
      <c r="B2" s="1205" t="s">
        <v>635</v>
      </c>
      <c r="C2" s="1206"/>
      <c r="D2" s="63" t="s">
        <v>636</v>
      </c>
      <c r="E2" s="1207" t="s">
        <v>629</v>
      </c>
      <c r="F2" s="1208"/>
    </row>
    <row r="3" spans="1:6" ht="44.25" customHeight="1">
      <c r="A3" s="64" t="s">
        <v>637</v>
      </c>
      <c r="B3" s="1209"/>
      <c r="C3" s="1097"/>
      <c r="D3" s="6"/>
      <c r="E3" s="1209"/>
      <c r="F3" s="1097"/>
    </row>
    <row r="4" spans="1:6" ht="44.25" customHeight="1">
      <c r="A4" s="56" t="s">
        <v>638</v>
      </c>
      <c r="B4" s="1209"/>
      <c r="C4" s="1097"/>
      <c r="D4" s="6"/>
      <c r="E4" s="1209"/>
      <c r="F4" s="1097"/>
    </row>
    <row r="5" spans="1:6" ht="44.25" customHeight="1">
      <c r="A5" s="55" t="s">
        <v>639</v>
      </c>
      <c r="B5" s="1209"/>
      <c r="C5" s="1097"/>
      <c r="D5" s="6"/>
      <c r="E5" s="1209"/>
      <c r="F5" s="1097"/>
    </row>
    <row r="6" spans="1:6" ht="44.25" customHeight="1">
      <c r="A6" s="55" t="s">
        <v>639</v>
      </c>
      <c r="B6" s="1209"/>
      <c r="C6" s="1097"/>
      <c r="D6" s="6"/>
      <c r="E6" s="1209"/>
      <c r="F6" s="1097"/>
    </row>
    <row r="7" spans="1:6" ht="43.5" customHeight="1">
      <c r="A7" s="55" t="s">
        <v>639</v>
      </c>
      <c r="B7" s="1209"/>
      <c r="C7" s="1097"/>
      <c r="D7" s="6"/>
      <c r="E7" s="1209"/>
      <c r="F7" s="1097"/>
    </row>
    <row r="8" spans="1:7" ht="17.25" customHeight="1">
      <c r="A8" s="1210" t="s">
        <v>137</v>
      </c>
      <c r="B8" s="1210"/>
      <c r="C8" s="1210"/>
      <c r="D8" s="1210"/>
      <c r="E8" s="1210"/>
      <c r="F8" s="1210"/>
      <c r="G8" s="982"/>
    </row>
  </sheetData>
  <sheetProtection/>
  <mergeCells count="15">
    <mergeCell ref="A1:B1"/>
    <mergeCell ref="C1:E1"/>
    <mergeCell ref="B2:C2"/>
    <mergeCell ref="E2:F2"/>
    <mergeCell ref="B3:C3"/>
    <mergeCell ref="E3:F3"/>
    <mergeCell ref="B7:C7"/>
    <mergeCell ref="E7:F7"/>
    <mergeCell ref="A8:F8"/>
    <mergeCell ref="B4:C4"/>
    <mergeCell ref="E4:F4"/>
    <mergeCell ref="B5:C5"/>
    <mergeCell ref="E5:F5"/>
    <mergeCell ref="B6:C6"/>
    <mergeCell ref="E6:F6"/>
  </mergeCells>
  <printOptions horizontalCentered="1" verticalCentered="1"/>
  <pageMargins left="0.16" right="0.16" top="0.36" bottom="0.28" header="0.39" footer="0.3"/>
  <pageSetup horizontalDpi="600" verticalDpi="600" orientation="landscape" scale="85" r:id="rId2"/>
  <drawing r:id="rId1"/>
</worksheet>
</file>

<file path=xl/worksheets/sheet77.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E1"/>
    </sheetView>
  </sheetViews>
  <sheetFormatPr defaultColWidth="9.33203125" defaultRowHeight="12.75"/>
  <cols>
    <col min="1" max="1" width="94.5" style="0" customWidth="1"/>
    <col min="2" max="2" width="41.33203125" style="0" customWidth="1"/>
    <col min="3" max="3" width="17.83203125" style="0" customWidth="1"/>
    <col min="4" max="4" width="16.66015625" style="0" customWidth="1"/>
    <col min="5" max="5" width="12" style="0" customWidth="1"/>
  </cols>
  <sheetData>
    <row r="1" spans="1:5" ht="132.75" customHeight="1">
      <c r="A1" s="1436" t="s">
        <v>640</v>
      </c>
      <c r="B1" s="1436"/>
      <c r="C1" s="1436"/>
      <c r="D1" s="1438" t="s">
        <v>641</v>
      </c>
      <c r="E1" s="1438"/>
    </row>
    <row r="2" spans="1:4" ht="17.25" customHeight="1">
      <c r="A2" s="3" t="s">
        <v>642</v>
      </c>
      <c r="B2" s="1089"/>
      <c r="C2" s="1090"/>
      <c r="D2" s="1091"/>
    </row>
    <row r="3" spans="1:4" ht="17.25" customHeight="1">
      <c r="A3" s="3" t="s">
        <v>643</v>
      </c>
      <c r="B3" s="1089"/>
      <c r="C3" s="1090"/>
      <c r="D3" s="1091"/>
    </row>
    <row r="4" spans="1:4" ht="17.25" customHeight="1">
      <c r="A4" s="4"/>
      <c r="B4" s="1" t="s">
        <v>644</v>
      </c>
      <c r="C4" s="1076" t="s">
        <v>645</v>
      </c>
      <c r="D4" s="1078"/>
    </row>
    <row r="5" spans="1:4" ht="34.5" customHeight="1">
      <c r="A5" s="3" t="s">
        <v>646</v>
      </c>
      <c r="B5" s="5" t="s">
        <v>647</v>
      </c>
      <c r="C5" s="1229" t="s">
        <v>648</v>
      </c>
      <c r="D5" s="1230"/>
    </row>
    <row r="6" spans="1:4" ht="15.75" customHeight="1">
      <c r="A6" s="4"/>
      <c r="B6" s="4"/>
      <c r="C6" s="1089"/>
      <c r="D6" s="1091"/>
    </row>
    <row r="7" spans="1:4" ht="17.25" customHeight="1">
      <c r="A7" s="3" t="s">
        <v>649</v>
      </c>
      <c r="B7" s="4"/>
      <c r="C7" s="1089"/>
      <c r="D7" s="1091"/>
    </row>
    <row r="8" spans="1:4" ht="15.75" customHeight="1">
      <c r="A8" s="4"/>
      <c r="B8" s="4"/>
      <c r="C8" s="1089"/>
      <c r="D8" s="1091"/>
    </row>
    <row r="9" spans="1:4" ht="17.25" customHeight="1">
      <c r="A9" s="1076" t="s">
        <v>650</v>
      </c>
      <c r="B9" s="1077"/>
      <c r="C9" s="1077"/>
      <c r="D9" s="1078"/>
    </row>
    <row r="10" spans="1:4" ht="17.25" customHeight="1">
      <c r="A10" s="3" t="s">
        <v>651</v>
      </c>
      <c r="B10" s="4"/>
      <c r="C10" s="1089"/>
      <c r="D10" s="1091"/>
    </row>
    <row r="11" spans="1:4" ht="17.25" customHeight="1">
      <c r="A11" s="3" t="s">
        <v>652</v>
      </c>
      <c r="B11" s="4"/>
      <c r="C11" s="1089"/>
      <c r="D11" s="1091"/>
    </row>
    <row r="12" spans="1:4" ht="15.75" customHeight="1">
      <c r="A12" s="4"/>
      <c r="B12" s="4"/>
      <c r="C12" s="1089"/>
      <c r="D12" s="1091"/>
    </row>
    <row r="13" spans="1:4" ht="17.25" customHeight="1">
      <c r="A13" s="1" t="s">
        <v>653</v>
      </c>
      <c r="B13" s="4"/>
      <c r="C13" s="1089"/>
      <c r="D13" s="1091"/>
    </row>
    <row r="14" spans="1:4" ht="15.75" customHeight="1">
      <c r="A14" s="4"/>
      <c r="B14" s="4"/>
      <c r="C14" s="1089"/>
      <c r="D14" s="1091"/>
    </row>
    <row r="15" spans="1:4" ht="17.25" customHeight="1">
      <c r="A15" s="1080" t="s">
        <v>654</v>
      </c>
      <c r="B15" s="1081"/>
      <c r="C15" s="1081"/>
      <c r="D15" s="1082"/>
    </row>
    <row r="16" spans="1:4" ht="17.25" customHeight="1">
      <c r="A16" s="3" t="s">
        <v>651</v>
      </c>
      <c r="B16" s="4"/>
      <c r="C16" s="1089"/>
      <c r="D16" s="1091"/>
    </row>
    <row r="17" spans="1:4" ht="17.25" customHeight="1">
      <c r="A17" s="3" t="s">
        <v>652</v>
      </c>
      <c r="B17" s="4"/>
      <c r="C17" s="1089"/>
      <c r="D17" s="1091"/>
    </row>
    <row r="18" spans="1:4" ht="15.75" customHeight="1">
      <c r="A18" s="4"/>
      <c r="B18" s="4"/>
      <c r="C18" s="1089"/>
      <c r="D18" s="1091"/>
    </row>
    <row r="19" spans="1:4" ht="17.25" customHeight="1">
      <c r="A19" s="5" t="s">
        <v>655</v>
      </c>
      <c r="B19" s="4"/>
      <c r="C19" s="1089"/>
      <c r="D19" s="1091"/>
    </row>
    <row r="20" spans="1:4" ht="17.25" customHeight="1">
      <c r="A20" s="3" t="s">
        <v>656</v>
      </c>
      <c r="B20" s="4"/>
      <c r="C20" s="1089"/>
      <c r="D20" s="1091"/>
    </row>
    <row r="21" spans="1:4" ht="15.75" customHeight="1">
      <c r="A21" s="4"/>
      <c r="B21" s="1089"/>
      <c r="C21" s="1090"/>
      <c r="D21" s="1091"/>
    </row>
  </sheetData>
  <sheetProtection/>
  <mergeCells count="22">
    <mergeCell ref="C6:D6"/>
    <mergeCell ref="A1:C1"/>
    <mergeCell ref="D1:E1"/>
    <mergeCell ref="B2:D2"/>
    <mergeCell ref="B3:D3"/>
    <mergeCell ref="C4:D4"/>
    <mergeCell ref="C5:D5"/>
    <mergeCell ref="C7:D7"/>
    <mergeCell ref="C8:D8"/>
    <mergeCell ref="C12:D12"/>
    <mergeCell ref="C13:D13"/>
    <mergeCell ref="C14:D14"/>
    <mergeCell ref="C20:D20"/>
    <mergeCell ref="A9:D9"/>
    <mergeCell ref="C10:D10"/>
    <mergeCell ref="C11:D11"/>
    <mergeCell ref="B21:D21"/>
    <mergeCell ref="A15:D15"/>
    <mergeCell ref="C16:D16"/>
    <mergeCell ref="C17:D17"/>
    <mergeCell ref="C18:D18"/>
    <mergeCell ref="C19:D19"/>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D1"/>
    </sheetView>
  </sheetViews>
  <sheetFormatPr defaultColWidth="9.33203125" defaultRowHeight="12.75"/>
  <cols>
    <col min="1" max="1" width="23.5" style="0" customWidth="1"/>
    <col min="2" max="2" width="1.83203125" style="0" customWidth="1"/>
    <col min="3" max="3" width="68.83203125" style="0" customWidth="1"/>
    <col min="4" max="4" width="76.16015625" style="0" customWidth="1"/>
    <col min="5" max="5" width="12.16015625" style="0" customWidth="1"/>
  </cols>
  <sheetData>
    <row r="1" spans="1:4" ht="17.25" customHeight="1">
      <c r="A1" s="1080" t="s">
        <v>657</v>
      </c>
      <c r="B1" s="1081"/>
      <c r="C1" s="1081"/>
      <c r="D1" s="1082"/>
    </row>
    <row r="2" spans="1:4" ht="17.25" customHeight="1">
      <c r="A2" s="1224" t="s">
        <v>651</v>
      </c>
      <c r="B2" s="1236"/>
      <c r="C2" s="1225"/>
      <c r="D2" s="4"/>
    </row>
    <row r="3" spans="1:4" ht="17.25" customHeight="1">
      <c r="A3" s="1224" t="s">
        <v>652</v>
      </c>
      <c r="B3" s="1236"/>
      <c r="C3" s="1225"/>
      <c r="D3" s="4"/>
    </row>
    <row r="4" spans="1:4" ht="15.75" customHeight="1">
      <c r="A4" s="1089"/>
      <c r="B4" s="1090"/>
      <c r="C4" s="1091"/>
      <c r="D4" s="4"/>
    </row>
    <row r="5" spans="1:4" ht="17.25" customHeight="1">
      <c r="A5" s="1076" t="s">
        <v>658</v>
      </c>
      <c r="B5" s="1077"/>
      <c r="C5" s="1078"/>
      <c r="D5" s="4"/>
    </row>
    <row r="6" spans="1:4" ht="15.75" customHeight="1">
      <c r="A6" s="1089"/>
      <c r="B6" s="1090"/>
      <c r="C6" s="1091"/>
      <c r="D6" s="4"/>
    </row>
    <row r="7" spans="1:4" ht="17.25" customHeight="1">
      <c r="A7" s="1076" t="s">
        <v>659</v>
      </c>
      <c r="B7" s="1077"/>
      <c r="C7" s="1078"/>
      <c r="D7" s="4"/>
    </row>
    <row r="8" spans="1:4" ht="17.25" customHeight="1">
      <c r="A8" s="1224" t="s">
        <v>660</v>
      </c>
      <c r="B8" s="1236"/>
      <c r="C8" s="1225"/>
      <c r="D8" s="4"/>
    </row>
    <row r="9" spans="1:4" ht="17.25" customHeight="1">
      <c r="A9" s="1224" t="s">
        <v>661</v>
      </c>
      <c r="B9" s="1236"/>
      <c r="C9" s="1225"/>
      <c r="D9" s="4"/>
    </row>
    <row r="10" spans="1:4" ht="9" customHeight="1">
      <c r="A10" s="14"/>
      <c r="B10" s="1486"/>
      <c r="C10" s="1487"/>
      <c r="D10" s="1490"/>
    </row>
    <row r="11" spans="1:4" ht="6" customHeight="1">
      <c r="A11" s="14"/>
      <c r="B11" s="1488"/>
      <c r="C11" s="1489"/>
      <c r="D11" s="1491"/>
    </row>
    <row r="12" spans="1:4" ht="9" customHeight="1">
      <c r="A12" s="1089"/>
      <c r="B12" s="1090"/>
      <c r="C12" s="1487"/>
      <c r="D12" s="1490"/>
    </row>
    <row r="13" spans="1:4" ht="6" customHeight="1">
      <c r="A13" s="1089"/>
      <c r="B13" s="1090"/>
      <c r="C13" s="1489"/>
      <c r="D13" s="1491"/>
    </row>
    <row r="14" spans="1:4" ht="17.25" customHeight="1">
      <c r="A14" s="1224" t="s">
        <v>662</v>
      </c>
      <c r="B14" s="1236"/>
      <c r="C14" s="1225"/>
      <c r="D14" s="4"/>
    </row>
    <row r="15" spans="1:5" ht="69" customHeight="1">
      <c r="A15" s="1436" t="s">
        <v>663</v>
      </c>
      <c r="B15" s="1436"/>
      <c r="C15" s="1436"/>
      <c r="D15" s="1436"/>
      <c r="E15" s="1436"/>
    </row>
    <row r="16" spans="1:5" ht="17.25" customHeight="1">
      <c r="A16" s="1437" t="s">
        <v>137</v>
      </c>
      <c r="B16" s="1437"/>
      <c r="C16" s="1437"/>
      <c r="D16" s="1437"/>
      <c r="E16" s="1437"/>
    </row>
  </sheetData>
  <sheetProtection/>
  <mergeCells count="18">
    <mergeCell ref="A15:E15"/>
    <mergeCell ref="A1:D1"/>
    <mergeCell ref="A2:C2"/>
    <mergeCell ref="A3:C3"/>
    <mergeCell ref="A4:C4"/>
    <mergeCell ref="A5:C5"/>
    <mergeCell ref="A7:C7"/>
    <mergeCell ref="A6:C6"/>
    <mergeCell ref="A8:C8"/>
    <mergeCell ref="A9:C9"/>
    <mergeCell ref="B10:C11"/>
    <mergeCell ref="A14:C14"/>
    <mergeCell ref="A16:E16"/>
    <mergeCell ref="D10:D11"/>
    <mergeCell ref="A12:B12"/>
    <mergeCell ref="C12:C13"/>
    <mergeCell ref="D12:D13"/>
    <mergeCell ref="A13:B13"/>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J96"/>
  <sheetViews>
    <sheetView zoomScalePageLayoutView="0" workbookViewId="0" topLeftCell="A1">
      <selection activeCell="A1" sqref="A1:G1"/>
    </sheetView>
  </sheetViews>
  <sheetFormatPr defaultColWidth="9.33203125" defaultRowHeight="12.75"/>
  <cols>
    <col min="1" max="1" width="7.83203125" style="0" customWidth="1"/>
    <col min="2" max="2" width="45.16015625" style="0" customWidth="1"/>
    <col min="3" max="4" width="22.83203125" style="0" customWidth="1"/>
    <col min="5" max="5" width="16.5" style="0" customWidth="1"/>
    <col min="6" max="6" width="14.83203125" style="0" customWidth="1"/>
    <col min="7" max="7" width="14.66015625" style="0" customWidth="1"/>
    <col min="8" max="8" width="2" style="0" customWidth="1"/>
    <col min="9" max="9" width="22.83203125" style="0" customWidth="1"/>
    <col min="10" max="10" width="12.16015625" style="0" customWidth="1"/>
  </cols>
  <sheetData>
    <row r="1" spans="1:10" ht="89.25" customHeight="1">
      <c r="A1" s="1436" t="s">
        <v>664</v>
      </c>
      <c r="B1" s="1436"/>
      <c r="C1" s="1436"/>
      <c r="D1" s="1436"/>
      <c r="E1" s="1436"/>
      <c r="F1" s="1436"/>
      <c r="G1" s="1436"/>
      <c r="H1" s="1383" t="s">
        <v>665</v>
      </c>
      <c r="I1" s="1383"/>
      <c r="J1" s="1383"/>
    </row>
    <row r="2" spans="1:10" ht="17.25" customHeight="1">
      <c r="A2" s="1439" t="s">
        <v>463</v>
      </c>
      <c r="B2" s="1439"/>
      <c r="C2" s="1439"/>
      <c r="D2" s="1439"/>
      <c r="E2" s="1439"/>
      <c r="F2" s="1439"/>
      <c r="G2" s="1439"/>
      <c r="H2" s="1439"/>
      <c r="I2" s="1439"/>
      <c r="J2" s="1439"/>
    </row>
    <row r="3" spans="1:9" ht="57.75" customHeight="1">
      <c r="A3" s="1213" t="s">
        <v>273</v>
      </c>
      <c r="B3" s="1492" t="s">
        <v>666</v>
      </c>
      <c r="C3" s="27" t="s">
        <v>667</v>
      </c>
      <c r="D3" s="27" t="s">
        <v>668</v>
      </c>
      <c r="E3" s="1442" t="s">
        <v>669</v>
      </c>
      <c r="F3" s="1494" t="s">
        <v>670</v>
      </c>
      <c r="G3" s="1496" t="s">
        <v>671</v>
      </c>
      <c r="H3" s="1497"/>
      <c r="I3" s="1500" t="s">
        <v>672</v>
      </c>
    </row>
    <row r="4" spans="1:9" ht="18" customHeight="1">
      <c r="A4" s="1214"/>
      <c r="B4" s="1493"/>
      <c r="C4" s="4"/>
      <c r="D4" s="2" t="s">
        <v>673</v>
      </c>
      <c r="E4" s="1443"/>
      <c r="F4" s="1495"/>
      <c r="G4" s="1498"/>
      <c r="H4" s="1499"/>
      <c r="I4" s="1501"/>
    </row>
    <row r="5" spans="1:9" ht="17.25" customHeight="1">
      <c r="A5" s="11">
        <v>1</v>
      </c>
      <c r="B5" s="11">
        <v>2</v>
      </c>
      <c r="C5" s="11">
        <v>3</v>
      </c>
      <c r="D5" s="11">
        <v>4</v>
      </c>
      <c r="E5" s="11">
        <v>5</v>
      </c>
      <c r="F5" s="11">
        <v>6</v>
      </c>
      <c r="G5" s="1216">
        <v>7</v>
      </c>
      <c r="H5" s="1217"/>
      <c r="I5" s="11">
        <v>8</v>
      </c>
    </row>
    <row r="6" spans="1:9" ht="17.25" customHeight="1">
      <c r="A6" s="11">
        <v>1</v>
      </c>
      <c r="B6" s="1" t="s">
        <v>674</v>
      </c>
      <c r="C6" s="4"/>
      <c r="D6" s="4"/>
      <c r="E6" s="4"/>
      <c r="F6" s="4"/>
      <c r="G6" s="1089"/>
      <c r="H6" s="1091"/>
      <c r="I6" s="4"/>
    </row>
    <row r="7" spans="1:9" ht="17.25" customHeight="1">
      <c r="A7" s="48">
        <v>1.1</v>
      </c>
      <c r="B7" s="3" t="s">
        <v>440</v>
      </c>
      <c r="C7" s="4"/>
      <c r="D7" s="4"/>
      <c r="E7" s="4"/>
      <c r="F7" s="4"/>
      <c r="G7" s="1089"/>
      <c r="H7" s="1091"/>
      <c r="I7" s="4"/>
    </row>
    <row r="8" spans="1:9" ht="34.5" customHeight="1">
      <c r="A8" s="48">
        <v>1.2</v>
      </c>
      <c r="B8" s="5" t="s">
        <v>675</v>
      </c>
      <c r="C8" s="6"/>
      <c r="D8" s="6"/>
      <c r="E8" s="6"/>
      <c r="F8" s="6"/>
      <c r="G8" s="1209"/>
      <c r="H8" s="1097"/>
      <c r="I8" s="6"/>
    </row>
    <row r="9" spans="1:9" ht="34.5" customHeight="1">
      <c r="A9" s="48">
        <v>1.3</v>
      </c>
      <c r="B9" s="5" t="s">
        <v>676</v>
      </c>
      <c r="C9" s="6"/>
      <c r="D9" s="6"/>
      <c r="E9" s="6"/>
      <c r="F9" s="6"/>
      <c r="G9" s="1209"/>
      <c r="H9" s="1097"/>
      <c r="I9" s="6"/>
    </row>
    <row r="10" spans="1:9" ht="17.25" customHeight="1">
      <c r="A10" s="4"/>
      <c r="B10" s="1" t="s">
        <v>677</v>
      </c>
      <c r="C10" s="4"/>
      <c r="D10" s="4"/>
      <c r="E10" s="4"/>
      <c r="F10" s="4"/>
      <c r="G10" s="1089"/>
      <c r="H10" s="1091"/>
      <c r="I10" s="4"/>
    </row>
    <row r="11" spans="1:9" ht="17.25" customHeight="1">
      <c r="A11" s="11">
        <v>2</v>
      </c>
      <c r="B11" s="1" t="s">
        <v>678</v>
      </c>
      <c r="C11" s="4"/>
      <c r="D11" s="4"/>
      <c r="E11" s="4"/>
      <c r="F11" s="4"/>
      <c r="G11" s="1089"/>
      <c r="H11" s="1091"/>
      <c r="I11" s="4"/>
    </row>
    <row r="12" spans="1:9" ht="17.25" customHeight="1">
      <c r="A12" s="48">
        <v>2.1</v>
      </c>
      <c r="B12" s="1" t="s">
        <v>679</v>
      </c>
      <c r="C12" s="4"/>
      <c r="D12" s="4"/>
      <c r="E12" s="4"/>
      <c r="F12" s="4"/>
      <c r="G12" s="1089"/>
      <c r="H12" s="1091"/>
      <c r="I12" s="4"/>
    </row>
    <row r="13" spans="1:9" ht="17.25" customHeight="1">
      <c r="A13" s="48">
        <v>2.2</v>
      </c>
      <c r="B13" s="1" t="s">
        <v>680</v>
      </c>
      <c r="C13" s="4"/>
      <c r="D13" s="4"/>
      <c r="E13" s="4"/>
      <c r="F13" s="4"/>
      <c r="G13" s="1089"/>
      <c r="H13" s="1091"/>
      <c r="I13" s="4"/>
    </row>
    <row r="14" spans="1:9" ht="17.25" customHeight="1">
      <c r="A14" s="12">
        <v>2.3</v>
      </c>
      <c r="B14" s="1" t="s">
        <v>681</v>
      </c>
      <c r="C14" s="4"/>
      <c r="D14" s="4"/>
      <c r="E14" s="4"/>
      <c r="F14" s="4"/>
      <c r="G14" s="1089"/>
      <c r="H14" s="1091"/>
      <c r="I14" s="4"/>
    </row>
    <row r="15" spans="1:9" ht="17.25" customHeight="1">
      <c r="A15" s="13" t="s">
        <v>682</v>
      </c>
      <c r="B15" s="3" t="s">
        <v>683</v>
      </c>
      <c r="C15" s="4"/>
      <c r="D15" s="4"/>
      <c r="E15" s="4"/>
      <c r="F15" s="4"/>
      <c r="G15" s="1089"/>
      <c r="H15" s="1091"/>
      <c r="I15" s="4"/>
    </row>
    <row r="16" spans="1:9" ht="17.25" customHeight="1">
      <c r="A16" s="13" t="s">
        <v>684</v>
      </c>
      <c r="B16" s="3" t="s">
        <v>685</v>
      </c>
      <c r="C16" s="4"/>
      <c r="D16" s="4"/>
      <c r="E16" s="4"/>
      <c r="F16" s="4"/>
      <c r="G16" s="1089"/>
      <c r="H16" s="1091"/>
      <c r="I16" s="4"/>
    </row>
    <row r="17" spans="1:9" ht="17.25" customHeight="1">
      <c r="A17" s="13" t="s">
        <v>686</v>
      </c>
      <c r="B17" s="3" t="s">
        <v>687</v>
      </c>
      <c r="C17" s="4"/>
      <c r="D17" s="4"/>
      <c r="E17" s="4"/>
      <c r="F17" s="4"/>
      <c r="G17" s="1089"/>
      <c r="H17" s="1091"/>
      <c r="I17" s="4"/>
    </row>
    <row r="18" spans="1:9" ht="17.25" customHeight="1">
      <c r="A18" s="13" t="s">
        <v>688</v>
      </c>
      <c r="B18" s="3" t="s">
        <v>689</v>
      </c>
      <c r="C18" s="4"/>
      <c r="D18" s="4"/>
      <c r="E18" s="4"/>
      <c r="F18" s="4"/>
      <c r="G18" s="1089"/>
      <c r="H18" s="1091"/>
      <c r="I18" s="4"/>
    </row>
    <row r="19" spans="1:9" ht="17.25" customHeight="1">
      <c r="A19" s="13" t="s">
        <v>690</v>
      </c>
      <c r="B19" s="3" t="s">
        <v>691</v>
      </c>
      <c r="C19" s="4"/>
      <c r="D19" s="4"/>
      <c r="E19" s="4"/>
      <c r="F19" s="4"/>
      <c r="G19" s="1089"/>
      <c r="H19" s="1091"/>
      <c r="I19" s="4"/>
    </row>
    <row r="20" spans="1:9" ht="17.25" customHeight="1">
      <c r="A20" s="13" t="s">
        <v>692</v>
      </c>
      <c r="B20" s="3" t="s">
        <v>693</v>
      </c>
      <c r="C20" s="4"/>
      <c r="D20" s="4"/>
      <c r="E20" s="4"/>
      <c r="F20" s="4"/>
      <c r="G20" s="1089"/>
      <c r="H20" s="1091"/>
      <c r="I20" s="4"/>
    </row>
    <row r="21" spans="1:9" ht="17.25" customHeight="1">
      <c r="A21" s="11">
        <v>1</v>
      </c>
      <c r="B21" s="11">
        <v>2</v>
      </c>
      <c r="C21" s="11">
        <v>3</v>
      </c>
      <c r="D21" s="11">
        <v>4</v>
      </c>
      <c r="E21" s="11">
        <v>5</v>
      </c>
      <c r="F21" s="11">
        <v>6</v>
      </c>
      <c r="G21" s="1216">
        <v>7</v>
      </c>
      <c r="H21" s="1217"/>
      <c r="I21" s="11">
        <v>8</v>
      </c>
    </row>
    <row r="22" spans="1:9" ht="17.25" customHeight="1">
      <c r="A22" s="13" t="s">
        <v>694</v>
      </c>
      <c r="B22" s="3" t="s">
        <v>695</v>
      </c>
      <c r="C22" s="4"/>
      <c r="D22" s="4"/>
      <c r="E22" s="4"/>
      <c r="F22" s="4"/>
      <c r="G22" s="1089"/>
      <c r="H22" s="1091"/>
      <c r="I22" s="4"/>
    </row>
    <row r="23" spans="1:9" ht="17.25" customHeight="1">
      <c r="A23" s="13" t="s">
        <v>696</v>
      </c>
      <c r="B23" s="3" t="s">
        <v>697</v>
      </c>
      <c r="C23" s="4"/>
      <c r="D23" s="4"/>
      <c r="E23" s="4"/>
      <c r="F23" s="4"/>
      <c r="G23" s="1089"/>
      <c r="H23" s="1091"/>
      <c r="I23" s="4"/>
    </row>
    <row r="24" spans="1:9" ht="17.25" customHeight="1">
      <c r="A24" s="13" t="s">
        <v>698</v>
      </c>
      <c r="B24" s="3" t="s">
        <v>699</v>
      </c>
      <c r="C24" s="4"/>
      <c r="D24" s="4"/>
      <c r="E24" s="4"/>
      <c r="F24" s="4"/>
      <c r="G24" s="1089"/>
      <c r="H24" s="1091"/>
      <c r="I24" s="4"/>
    </row>
    <row r="25" spans="1:9" ht="17.25" customHeight="1">
      <c r="A25" s="66">
        <v>40212</v>
      </c>
      <c r="B25" s="3" t="s">
        <v>700</v>
      </c>
      <c r="C25" s="4"/>
      <c r="D25" s="4"/>
      <c r="E25" s="4"/>
      <c r="F25" s="4"/>
      <c r="G25" s="1089"/>
      <c r="H25" s="1091"/>
      <c r="I25" s="4"/>
    </row>
    <row r="26" spans="1:9" ht="17.25" customHeight="1">
      <c r="A26" s="66">
        <v>40577</v>
      </c>
      <c r="B26" s="3" t="s">
        <v>701</v>
      </c>
      <c r="C26" s="4"/>
      <c r="D26" s="4"/>
      <c r="E26" s="4"/>
      <c r="F26" s="4"/>
      <c r="G26" s="1089"/>
      <c r="H26" s="1091"/>
      <c r="I26" s="4"/>
    </row>
    <row r="27" spans="1:9" ht="17.25" customHeight="1">
      <c r="A27" s="66">
        <v>40942</v>
      </c>
      <c r="B27" s="3" t="s">
        <v>702</v>
      </c>
      <c r="C27" s="4"/>
      <c r="D27" s="4"/>
      <c r="E27" s="4"/>
      <c r="F27" s="4"/>
      <c r="G27" s="1089"/>
      <c r="H27" s="1091"/>
      <c r="I27" s="4"/>
    </row>
    <row r="28" spans="1:9" ht="17.25" customHeight="1">
      <c r="A28" s="66">
        <v>41308</v>
      </c>
      <c r="B28" s="3" t="s">
        <v>703</v>
      </c>
      <c r="C28" s="4"/>
      <c r="D28" s="4"/>
      <c r="E28" s="4"/>
      <c r="F28" s="4"/>
      <c r="G28" s="1089"/>
      <c r="H28" s="1091"/>
      <c r="I28" s="4"/>
    </row>
    <row r="29" spans="1:9" ht="17.25" customHeight="1">
      <c r="A29" s="66">
        <v>41673</v>
      </c>
      <c r="B29" s="3" t="s">
        <v>704</v>
      </c>
      <c r="C29" s="4"/>
      <c r="D29" s="4"/>
      <c r="E29" s="4"/>
      <c r="F29" s="4"/>
      <c r="G29" s="1089"/>
      <c r="H29" s="1091"/>
      <c r="I29" s="4"/>
    </row>
    <row r="30" spans="1:9" ht="17.25" customHeight="1">
      <c r="A30" s="66">
        <v>42038</v>
      </c>
      <c r="B30" s="3" t="s">
        <v>705</v>
      </c>
      <c r="C30" s="4"/>
      <c r="D30" s="4"/>
      <c r="E30" s="4"/>
      <c r="F30" s="4"/>
      <c r="G30" s="1089"/>
      <c r="H30" s="1091"/>
      <c r="I30" s="4"/>
    </row>
    <row r="31" spans="1:9" ht="34.5" customHeight="1">
      <c r="A31" s="66">
        <v>42403</v>
      </c>
      <c r="B31" s="5" t="s">
        <v>706</v>
      </c>
      <c r="C31" s="6"/>
      <c r="D31" s="6"/>
      <c r="E31" s="6"/>
      <c r="F31" s="6"/>
      <c r="G31" s="1209"/>
      <c r="H31" s="1097"/>
      <c r="I31" s="6"/>
    </row>
    <row r="32" spans="1:9" ht="34.5" customHeight="1">
      <c r="A32" s="66">
        <v>42769</v>
      </c>
      <c r="B32" s="5" t="s">
        <v>707</v>
      </c>
      <c r="C32" s="6"/>
      <c r="D32" s="6"/>
      <c r="E32" s="6"/>
      <c r="F32" s="6"/>
      <c r="G32" s="1209"/>
      <c r="H32" s="1097"/>
      <c r="I32" s="6"/>
    </row>
    <row r="33" spans="1:9" ht="17.25" customHeight="1">
      <c r="A33" s="4"/>
      <c r="B33" s="1" t="s">
        <v>708</v>
      </c>
      <c r="C33" s="4"/>
      <c r="D33" s="4"/>
      <c r="E33" s="4"/>
      <c r="F33" s="4"/>
      <c r="G33" s="1089"/>
      <c r="H33" s="1091"/>
      <c r="I33" s="4"/>
    </row>
    <row r="34" spans="1:9" ht="17.25" customHeight="1">
      <c r="A34" s="12">
        <v>2.4</v>
      </c>
      <c r="B34" s="1" t="s">
        <v>709</v>
      </c>
      <c r="C34" s="4"/>
      <c r="D34" s="4"/>
      <c r="E34" s="4"/>
      <c r="F34" s="4"/>
      <c r="G34" s="1089"/>
      <c r="H34" s="1091"/>
      <c r="I34" s="4"/>
    </row>
    <row r="35" spans="1:9" ht="17.25" customHeight="1">
      <c r="A35" s="13" t="s">
        <v>710</v>
      </c>
      <c r="B35" s="3" t="s">
        <v>711</v>
      </c>
      <c r="C35" s="4"/>
      <c r="D35" s="4"/>
      <c r="E35" s="4"/>
      <c r="F35" s="4"/>
      <c r="G35" s="1089"/>
      <c r="H35" s="1091"/>
      <c r="I35" s="4"/>
    </row>
    <row r="36" spans="1:9" ht="17.25" customHeight="1">
      <c r="A36" s="13" t="s">
        <v>712</v>
      </c>
      <c r="B36" s="3" t="s">
        <v>713</v>
      </c>
      <c r="C36" s="4"/>
      <c r="D36" s="4"/>
      <c r="E36" s="4"/>
      <c r="F36" s="4"/>
      <c r="G36" s="1089"/>
      <c r="H36" s="1091"/>
      <c r="I36" s="4"/>
    </row>
    <row r="37" spans="1:9" ht="17.25" customHeight="1">
      <c r="A37" s="13" t="s">
        <v>714</v>
      </c>
      <c r="B37" s="3" t="s">
        <v>715</v>
      </c>
      <c r="C37" s="4"/>
      <c r="D37" s="4"/>
      <c r="E37" s="4"/>
      <c r="F37" s="4"/>
      <c r="G37" s="1089"/>
      <c r="H37" s="1091"/>
      <c r="I37" s="4"/>
    </row>
    <row r="38" spans="1:9" ht="34.5" customHeight="1">
      <c r="A38" s="13" t="s">
        <v>716</v>
      </c>
      <c r="B38" s="5" t="s">
        <v>717</v>
      </c>
      <c r="C38" s="6"/>
      <c r="D38" s="6"/>
      <c r="E38" s="6"/>
      <c r="F38" s="6"/>
      <c r="G38" s="1209"/>
      <c r="H38" s="1097"/>
      <c r="I38" s="6"/>
    </row>
    <row r="39" spans="1:9" ht="17.25" customHeight="1">
      <c r="A39" s="13" t="s">
        <v>718</v>
      </c>
      <c r="B39" s="3" t="s">
        <v>719</v>
      </c>
      <c r="C39" s="4"/>
      <c r="D39" s="4"/>
      <c r="E39" s="4"/>
      <c r="F39" s="4"/>
      <c r="G39" s="1089"/>
      <c r="H39" s="1091"/>
      <c r="I39" s="4"/>
    </row>
    <row r="40" spans="1:9" ht="17.25" customHeight="1">
      <c r="A40" s="13" t="s">
        <v>720</v>
      </c>
      <c r="B40" s="3" t="s">
        <v>721</v>
      </c>
      <c r="C40" s="4"/>
      <c r="D40" s="4"/>
      <c r="E40" s="4"/>
      <c r="F40" s="4"/>
      <c r="G40" s="1089"/>
      <c r="H40" s="1091"/>
      <c r="I40" s="4"/>
    </row>
    <row r="41" spans="1:9" ht="17.25" customHeight="1">
      <c r="A41" s="4"/>
      <c r="B41" s="1" t="s">
        <v>722</v>
      </c>
      <c r="C41" s="4"/>
      <c r="D41" s="4"/>
      <c r="E41" s="4"/>
      <c r="F41" s="4"/>
      <c r="G41" s="1089"/>
      <c r="H41" s="1091"/>
      <c r="I41" s="4"/>
    </row>
    <row r="42" spans="1:9" ht="34.5" customHeight="1">
      <c r="A42" s="12">
        <v>2.5</v>
      </c>
      <c r="B42" s="5" t="s">
        <v>723</v>
      </c>
      <c r="C42" s="6"/>
      <c r="D42" s="6"/>
      <c r="E42" s="6"/>
      <c r="F42" s="6"/>
      <c r="G42" s="1209"/>
      <c r="H42" s="1097"/>
      <c r="I42" s="6"/>
    </row>
    <row r="43" spans="1:9" ht="22.5" customHeight="1">
      <c r="A43" s="4"/>
      <c r="B43" s="1" t="s">
        <v>724</v>
      </c>
      <c r="C43" s="4"/>
      <c r="D43" s="4"/>
      <c r="E43" s="4"/>
      <c r="F43" s="4"/>
      <c r="G43" s="1089"/>
      <c r="H43" s="1091"/>
      <c r="I43" s="4"/>
    </row>
    <row r="44" spans="1:9" ht="17.25" customHeight="1">
      <c r="A44" s="11">
        <v>1</v>
      </c>
      <c r="B44" s="11">
        <v>2</v>
      </c>
      <c r="C44" s="11">
        <v>3</v>
      </c>
      <c r="D44" s="11">
        <v>4</v>
      </c>
      <c r="E44" s="11">
        <v>5</v>
      </c>
      <c r="F44" s="11">
        <v>6</v>
      </c>
      <c r="G44" s="1216">
        <v>7</v>
      </c>
      <c r="H44" s="1217"/>
      <c r="I44" s="11">
        <v>8</v>
      </c>
    </row>
    <row r="45" spans="1:9" ht="22.5" customHeight="1">
      <c r="A45" s="4"/>
      <c r="B45" s="1" t="s">
        <v>725</v>
      </c>
      <c r="C45" s="4"/>
      <c r="D45" s="4"/>
      <c r="E45" s="4"/>
      <c r="F45" s="4"/>
      <c r="G45" s="1089"/>
      <c r="H45" s="1091"/>
      <c r="I45" s="4"/>
    </row>
    <row r="46" spans="1:9" ht="22.5" customHeight="1">
      <c r="A46" s="12">
        <v>2.6</v>
      </c>
      <c r="B46" s="1" t="s">
        <v>726</v>
      </c>
      <c r="C46" s="4"/>
      <c r="D46" s="4"/>
      <c r="E46" s="4"/>
      <c r="F46" s="4"/>
      <c r="G46" s="1089"/>
      <c r="H46" s="1091"/>
      <c r="I46" s="4"/>
    </row>
    <row r="47" spans="1:9" ht="17.25" customHeight="1">
      <c r="A47" s="11">
        <v>3</v>
      </c>
      <c r="B47" s="1" t="s">
        <v>727</v>
      </c>
      <c r="C47" s="4"/>
      <c r="D47" s="4"/>
      <c r="E47" s="4"/>
      <c r="F47" s="4"/>
      <c r="G47" s="1089"/>
      <c r="H47" s="1091"/>
      <c r="I47" s="4"/>
    </row>
    <row r="48" spans="1:9" ht="15.75" customHeight="1">
      <c r="A48" s="4"/>
      <c r="B48" s="4"/>
      <c r="C48" s="4"/>
      <c r="D48" s="4"/>
      <c r="E48" s="4"/>
      <c r="F48" s="4"/>
      <c r="G48" s="1089"/>
      <c r="H48" s="1091"/>
      <c r="I48" s="4"/>
    </row>
    <row r="49" spans="1:9" ht="17.25" customHeight="1">
      <c r="A49" s="11">
        <v>4</v>
      </c>
      <c r="B49" s="1" t="s">
        <v>728</v>
      </c>
      <c r="C49" s="4"/>
      <c r="D49" s="4"/>
      <c r="E49" s="4"/>
      <c r="F49" s="4"/>
      <c r="G49" s="1089"/>
      <c r="H49" s="1091"/>
      <c r="I49" s="4"/>
    </row>
    <row r="50" spans="1:9" ht="17.25" customHeight="1">
      <c r="A50" s="48">
        <v>4.1</v>
      </c>
      <c r="B50" s="3" t="s">
        <v>729</v>
      </c>
      <c r="C50" s="4"/>
      <c r="D50" s="4"/>
      <c r="E50" s="4"/>
      <c r="F50" s="4"/>
      <c r="G50" s="1089"/>
      <c r="H50" s="1091"/>
      <c r="I50" s="4"/>
    </row>
    <row r="51" spans="1:9" ht="17.25" customHeight="1">
      <c r="A51" s="48">
        <v>4.2</v>
      </c>
      <c r="B51" s="3" t="s">
        <v>685</v>
      </c>
      <c r="C51" s="4"/>
      <c r="D51" s="4"/>
      <c r="E51" s="4"/>
      <c r="F51" s="4"/>
      <c r="G51" s="1089"/>
      <c r="H51" s="1091"/>
      <c r="I51" s="4"/>
    </row>
    <row r="52" spans="1:9" ht="17.25" customHeight="1">
      <c r="A52" s="48">
        <v>4.3</v>
      </c>
      <c r="B52" s="3" t="s">
        <v>730</v>
      </c>
      <c r="C52" s="4"/>
      <c r="D52" s="4"/>
      <c r="E52" s="4"/>
      <c r="F52" s="4"/>
      <c r="G52" s="1089"/>
      <c r="H52" s="1091"/>
      <c r="I52" s="4"/>
    </row>
    <row r="53" spans="1:9" ht="17.25" customHeight="1">
      <c r="A53" s="48">
        <v>4.4</v>
      </c>
      <c r="B53" s="3" t="s">
        <v>687</v>
      </c>
      <c r="C53" s="4"/>
      <c r="D53" s="4"/>
      <c r="E53" s="4"/>
      <c r="F53" s="4"/>
      <c r="G53" s="1089"/>
      <c r="H53" s="1091"/>
      <c r="I53" s="4"/>
    </row>
    <row r="54" spans="1:9" ht="17.25" customHeight="1">
      <c r="A54" s="48">
        <v>4.5</v>
      </c>
      <c r="B54" s="3" t="s">
        <v>689</v>
      </c>
      <c r="C54" s="4"/>
      <c r="D54" s="4"/>
      <c r="E54" s="4"/>
      <c r="F54" s="4"/>
      <c r="G54" s="1089"/>
      <c r="H54" s="1091"/>
      <c r="I54" s="4"/>
    </row>
    <row r="55" spans="1:9" ht="17.25" customHeight="1">
      <c r="A55" s="48">
        <v>4.6</v>
      </c>
      <c r="B55" s="3" t="s">
        <v>731</v>
      </c>
      <c r="C55" s="4"/>
      <c r="D55" s="4"/>
      <c r="E55" s="4"/>
      <c r="F55" s="4"/>
      <c r="G55" s="1089"/>
      <c r="H55" s="1091"/>
      <c r="I55" s="4"/>
    </row>
    <row r="56" spans="1:9" ht="17.25" customHeight="1">
      <c r="A56" s="48">
        <v>4.7</v>
      </c>
      <c r="B56" s="3" t="s">
        <v>732</v>
      </c>
      <c r="C56" s="4"/>
      <c r="D56" s="4"/>
      <c r="E56" s="4"/>
      <c r="F56" s="4"/>
      <c r="G56" s="1089"/>
      <c r="H56" s="1091"/>
      <c r="I56" s="4"/>
    </row>
    <row r="57" spans="1:9" ht="17.25" customHeight="1">
      <c r="A57" s="48">
        <v>4.8</v>
      </c>
      <c r="B57" s="3" t="s">
        <v>697</v>
      </c>
      <c r="C57" s="4"/>
      <c r="D57" s="4"/>
      <c r="E57" s="4"/>
      <c r="F57" s="4"/>
      <c r="G57" s="1089"/>
      <c r="H57" s="1091"/>
      <c r="I57" s="4"/>
    </row>
    <row r="58" spans="1:9" ht="17.25" customHeight="1">
      <c r="A58" s="48">
        <v>4.9</v>
      </c>
      <c r="B58" s="3" t="s">
        <v>733</v>
      </c>
      <c r="C58" s="4"/>
      <c r="D58" s="4"/>
      <c r="E58" s="4"/>
      <c r="F58" s="4"/>
      <c r="G58" s="1089"/>
      <c r="H58" s="1091"/>
      <c r="I58" s="4"/>
    </row>
    <row r="59" spans="1:9" ht="17.25" customHeight="1">
      <c r="A59" s="67">
        <v>4.1</v>
      </c>
      <c r="B59" s="3" t="s">
        <v>695</v>
      </c>
      <c r="C59" s="4"/>
      <c r="D59" s="4"/>
      <c r="E59" s="4"/>
      <c r="F59" s="4"/>
      <c r="G59" s="1089"/>
      <c r="H59" s="1091"/>
      <c r="I59" s="4"/>
    </row>
    <row r="60" spans="1:9" ht="17.25" customHeight="1">
      <c r="A60" s="67">
        <v>4.11</v>
      </c>
      <c r="B60" s="3" t="s">
        <v>734</v>
      </c>
      <c r="C60" s="4"/>
      <c r="D60" s="4"/>
      <c r="E60" s="4"/>
      <c r="F60" s="4"/>
      <c r="G60" s="1089"/>
      <c r="H60" s="1091"/>
      <c r="I60" s="4"/>
    </row>
    <row r="61" spans="1:9" ht="17.25" customHeight="1">
      <c r="A61" s="67">
        <v>4.12</v>
      </c>
      <c r="B61" s="3" t="s">
        <v>703</v>
      </c>
      <c r="C61" s="4"/>
      <c r="D61" s="4"/>
      <c r="E61" s="4"/>
      <c r="F61" s="4"/>
      <c r="G61" s="1089"/>
      <c r="H61" s="1091"/>
      <c r="I61" s="4"/>
    </row>
    <row r="62" spans="1:9" ht="17.25" customHeight="1">
      <c r="A62" s="67">
        <v>4.13</v>
      </c>
      <c r="B62" s="3" t="s">
        <v>735</v>
      </c>
      <c r="C62" s="4"/>
      <c r="D62" s="4"/>
      <c r="E62" s="4"/>
      <c r="F62" s="4"/>
      <c r="G62" s="1089"/>
      <c r="H62" s="1091"/>
      <c r="I62" s="4"/>
    </row>
    <row r="63" spans="1:9" ht="34.5" customHeight="1">
      <c r="A63" s="67">
        <v>4.14</v>
      </c>
      <c r="B63" s="5" t="s">
        <v>736</v>
      </c>
      <c r="C63" s="6"/>
      <c r="D63" s="6"/>
      <c r="E63" s="6"/>
      <c r="F63" s="6"/>
      <c r="G63" s="1209"/>
      <c r="H63" s="1097"/>
      <c r="I63" s="6"/>
    </row>
    <row r="64" spans="1:9" ht="17.25" customHeight="1">
      <c r="A64" s="67">
        <v>4.15</v>
      </c>
      <c r="B64" s="3" t="s">
        <v>737</v>
      </c>
      <c r="C64" s="4"/>
      <c r="D64" s="4"/>
      <c r="E64" s="4"/>
      <c r="F64" s="4"/>
      <c r="G64" s="1089"/>
      <c r="H64" s="1091"/>
      <c r="I64" s="4"/>
    </row>
    <row r="65" spans="1:9" ht="17.25" customHeight="1">
      <c r="A65" s="4"/>
      <c r="B65" s="1" t="s">
        <v>738</v>
      </c>
      <c r="C65" s="4"/>
      <c r="D65" s="4"/>
      <c r="E65" s="4"/>
      <c r="F65" s="4"/>
      <c r="G65" s="1089"/>
      <c r="H65" s="1091"/>
      <c r="I65" s="4"/>
    </row>
    <row r="66" spans="1:9" ht="15.75" customHeight="1">
      <c r="A66" s="4"/>
      <c r="B66" s="4"/>
      <c r="C66" s="4"/>
      <c r="D66" s="4"/>
      <c r="E66" s="4"/>
      <c r="F66" s="4"/>
      <c r="G66" s="1089"/>
      <c r="H66" s="1091"/>
      <c r="I66" s="4"/>
    </row>
    <row r="67" spans="1:9" ht="34.5" customHeight="1">
      <c r="A67" s="11">
        <v>5</v>
      </c>
      <c r="B67" s="5" t="s">
        <v>739</v>
      </c>
      <c r="C67" s="6"/>
      <c r="D67" s="6"/>
      <c r="E67" s="6"/>
      <c r="F67" s="6"/>
      <c r="G67" s="1209"/>
      <c r="H67" s="1097"/>
      <c r="I67" s="6"/>
    </row>
    <row r="68" spans="1:9" ht="17.25" customHeight="1">
      <c r="A68" s="11">
        <v>1</v>
      </c>
      <c r="B68" s="11">
        <v>2</v>
      </c>
      <c r="C68" s="11">
        <v>3</v>
      </c>
      <c r="D68" s="11">
        <v>4</v>
      </c>
      <c r="E68" s="11">
        <v>5</v>
      </c>
      <c r="F68" s="11">
        <v>6</v>
      </c>
      <c r="G68" s="1216">
        <v>7</v>
      </c>
      <c r="H68" s="1217"/>
      <c r="I68" s="11">
        <v>8</v>
      </c>
    </row>
    <row r="69" spans="1:9" ht="34.5" customHeight="1">
      <c r="A69" s="48">
        <v>5.1</v>
      </c>
      <c r="B69" s="5" t="s">
        <v>740</v>
      </c>
      <c r="C69" s="6"/>
      <c r="D69" s="6"/>
      <c r="E69" s="6"/>
      <c r="F69" s="6"/>
      <c r="G69" s="1209"/>
      <c r="H69" s="1097"/>
      <c r="I69" s="6"/>
    </row>
    <row r="70" spans="1:9" ht="17.25" customHeight="1">
      <c r="A70" s="48">
        <v>5.2</v>
      </c>
      <c r="B70" s="3" t="s">
        <v>741</v>
      </c>
      <c r="C70" s="4"/>
      <c r="D70" s="4"/>
      <c r="E70" s="4"/>
      <c r="F70" s="4"/>
      <c r="G70" s="1089"/>
      <c r="H70" s="1091"/>
      <c r="I70" s="4"/>
    </row>
    <row r="71" spans="1:9" ht="17.25" customHeight="1">
      <c r="A71" s="48">
        <v>5.3</v>
      </c>
      <c r="B71" s="3" t="s">
        <v>742</v>
      </c>
      <c r="C71" s="4"/>
      <c r="D71" s="4"/>
      <c r="E71" s="4"/>
      <c r="F71" s="4"/>
      <c r="G71" s="1089"/>
      <c r="H71" s="1091"/>
      <c r="I71" s="4"/>
    </row>
    <row r="72" spans="1:9" ht="17.25" customHeight="1">
      <c r="A72" s="48">
        <v>5.4</v>
      </c>
      <c r="B72" s="3" t="s">
        <v>743</v>
      </c>
      <c r="C72" s="4"/>
      <c r="D72" s="4"/>
      <c r="E72" s="4"/>
      <c r="F72" s="4"/>
      <c r="G72" s="1089"/>
      <c r="H72" s="1091"/>
      <c r="I72" s="4"/>
    </row>
    <row r="73" spans="1:9" ht="17.25" customHeight="1">
      <c r="A73" s="48">
        <v>5.5</v>
      </c>
      <c r="B73" s="3" t="s">
        <v>744</v>
      </c>
      <c r="C73" s="4"/>
      <c r="D73" s="4"/>
      <c r="E73" s="4"/>
      <c r="F73" s="4"/>
      <c r="G73" s="1089"/>
      <c r="H73" s="1091"/>
      <c r="I73" s="4"/>
    </row>
    <row r="74" spans="1:9" ht="17.25" customHeight="1">
      <c r="A74" s="48">
        <v>5.6</v>
      </c>
      <c r="B74" s="3" t="s">
        <v>745</v>
      </c>
      <c r="C74" s="4"/>
      <c r="D74" s="4"/>
      <c r="E74" s="4"/>
      <c r="F74" s="4"/>
      <c r="G74" s="1089"/>
      <c r="H74" s="1091"/>
      <c r="I74" s="4"/>
    </row>
    <row r="75" spans="1:9" ht="34.5" customHeight="1">
      <c r="A75" s="6"/>
      <c r="B75" s="5" t="s">
        <v>746</v>
      </c>
      <c r="C75" s="6"/>
      <c r="D75" s="6"/>
      <c r="E75" s="6"/>
      <c r="F75" s="6"/>
      <c r="G75" s="1209"/>
      <c r="H75" s="1097"/>
      <c r="I75" s="6"/>
    </row>
    <row r="76" spans="1:9" ht="15" customHeight="1">
      <c r="A76" s="4"/>
      <c r="B76" s="4"/>
      <c r="C76" s="1089"/>
      <c r="D76" s="1090"/>
      <c r="E76" s="1091"/>
      <c r="F76" s="4"/>
      <c r="G76" s="1089"/>
      <c r="H76" s="1091"/>
      <c r="I76" s="4"/>
    </row>
    <row r="77" spans="1:9" ht="17.25" customHeight="1">
      <c r="A77" s="11">
        <v>6</v>
      </c>
      <c r="B77" s="1" t="s">
        <v>747</v>
      </c>
      <c r="C77" s="4"/>
      <c r="D77" s="4"/>
      <c r="E77" s="4"/>
      <c r="F77" s="4"/>
      <c r="G77" s="1089"/>
      <c r="H77" s="1091"/>
      <c r="I77" s="4"/>
    </row>
    <row r="78" spans="1:9" ht="17.25" customHeight="1">
      <c r="A78" s="48">
        <v>6.1</v>
      </c>
      <c r="B78" s="3" t="s">
        <v>748</v>
      </c>
      <c r="C78" s="4"/>
      <c r="D78" s="4"/>
      <c r="E78" s="4"/>
      <c r="F78" s="4"/>
      <c r="G78" s="1089"/>
      <c r="H78" s="1091"/>
      <c r="I78" s="4"/>
    </row>
    <row r="79" spans="1:9" ht="17.25" customHeight="1">
      <c r="A79" s="48">
        <v>6.2</v>
      </c>
      <c r="B79" s="3" t="s">
        <v>749</v>
      </c>
      <c r="C79" s="4"/>
      <c r="D79" s="4"/>
      <c r="E79" s="4"/>
      <c r="F79" s="4"/>
      <c r="G79" s="1089"/>
      <c r="H79" s="1091"/>
      <c r="I79" s="4"/>
    </row>
    <row r="80" spans="1:9" ht="17.25" customHeight="1">
      <c r="A80" s="48">
        <v>6.3</v>
      </c>
      <c r="B80" s="3" t="s">
        <v>750</v>
      </c>
      <c r="C80" s="4"/>
      <c r="D80" s="4"/>
      <c r="E80" s="4"/>
      <c r="F80" s="4"/>
      <c r="G80" s="1089"/>
      <c r="H80" s="1091"/>
      <c r="I80" s="4"/>
    </row>
    <row r="81" spans="1:9" ht="17.25" customHeight="1">
      <c r="A81" s="48">
        <v>6.4</v>
      </c>
      <c r="B81" s="3" t="s">
        <v>751</v>
      </c>
      <c r="C81" s="4"/>
      <c r="D81" s="4"/>
      <c r="E81" s="4"/>
      <c r="F81" s="4"/>
      <c r="G81" s="1089"/>
      <c r="H81" s="1091"/>
      <c r="I81" s="4"/>
    </row>
    <row r="82" spans="1:9" ht="17.25" customHeight="1">
      <c r="A82" s="4"/>
      <c r="B82" s="1" t="s">
        <v>752</v>
      </c>
      <c r="C82" s="4"/>
      <c r="D82" s="4"/>
      <c r="E82" s="4"/>
      <c r="F82" s="4"/>
      <c r="G82" s="1089"/>
      <c r="H82" s="1091"/>
      <c r="I82" s="4"/>
    </row>
    <row r="83" spans="1:9" ht="15.75" customHeight="1">
      <c r="A83" s="4"/>
      <c r="B83" s="4"/>
      <c r="C83" s="4"/>
      <c r="D83" s="4"/>
      <c r="E83" s="4"/>
      <c r="F83" s="4"/>
      <c r="G83" s="1089"/>
      <c r="H83" s="1091"/>
      <c r="I83" s="4"/>
    </row>
    <row r="84" spans="1:9" ht="34.5" customHeight="1">
      <c r="A84" s="11">
        <v>7</v>
      </c>
      <c r="B84" s="5" t="s">
        <v>753</v>
      </c>
      <c r="C84" s="6"/>
      <c r="D84" s="6"/>
      <c r="E84" s="6"/>
      <c r="F84" s="6"/>
      <c r="G84" s="1209"/>
      <c r="H84" s="1097"/>
      <c r="I84" s="6"/>
    </row>
    <row r="85" spans="1:9" ht="15" customHeight="1">
      <c r="A85" s="4"/>
      <c r="B85" s="4"/>
      <c r="C85" s="4"/>
      <c r="D85" s="4"/>
      <c r="E85" s="4"/>
      <c r="F85" s="4"/>
      <c r="G85" s="1089"/>
      <c r="H85" s="1091"/>
      <c r="I85" s="4"/>
    </row>
    <row r="86" spans="1:9" ht="17.25" customHeight="1">
      <c r="A86" s="11">
        <v>8</v>
      </c>
      <c r="B86" s="1" t="s">
        <v>754</v>
      </c>
      <c r="C86" s="4"/>
      <c r="D86" s="4"/>
      <c r="E86" s="4"/>
      <c r="F86" s="4"/>
      <c r="G86" s="1089"/>
      <c r="H86" s="1091"/>
      <c r="I86" s="4"/>
    </row>
    <row r="87" spans="1:9" ht="17.25" customHeight="1">
      <c r="A87" s="48">
        <v>8.1</v>
      </c>
      <c r="B87" s="3" t="s">
        <v>755</v>
      </c>
      <c r="C87" s="4"/>
      <c r="D87" s="4"/>
      <c r="E87" s="4"/>
      <c r="F87" s="4"/>
      <c r="G87" s="1089"/>
      <c r="H87" s="1091"/>
      <c r="I87" s="4"/>
    </row>
    <row r="88" spans="1:9" ht="17.25" customHeight="1">
      <c r="A88" s="48">
        <v>8.2</v>
      </c>
      <c r="B88" s="3" t="s">
        <v>756</v>
      </c>
      <c r="C88" s="4"/>
      <c r="D88" s="4"/>
      <c r="E88" s="4"/>
      <c r="F88" s="4"/>
      <c r="G88" s="1089"/>
      <c r="H88" s="1091"/>
      <c r="I88" s="4"/>
    </row>
    <row r="89" spans="1:9" ht="34.5" customHeight="1">
      <c r="A89" s="48">
        <v>8.3</v>
      </c>
      <c r="B89" s="5" t="s">
        <v>757</v>
      </c>
      <c r="C89" s="6"/>
      <c r="D89" s="6"/>
      <c r="E89" s="6"/>
      <c r="F89" s="6"/>
      <c r="G89" s="1209"/>
      <c r="H89" s="1097"/>
      <c r="I89" s="6"/>
    </row>
    <row r="90" spans="1:9" ht="17.25" customHeight="1">
      <c r="A90" s="48">
        <v>8.4</v>
      </c>
      <c r="B90" s="3" t="s">
        <v>758</v>
      </c>
      <c r="C90" s="4"/>
      <c r="D90" s="4"/>
      <c r="E90" s="4"/>
      <c r="F90" s="4"/>
      <c r="G90" s="1089"/>
      <c r="H90" s="1091"/>
      <c r="I90" s="4"/>
    </row>
    <row r="91" spans="1:9" ht="17.25" customHeight="1">
      <c r="A91" s="11">
        <v>1</v>
      </c>
      <c r="B91" s="11">
        <v>2</v>
      </c>
      <c r="C91" s="11">
        <v>3</v>
      </c>
      <c r="D91" s="11">
        <v>4</v>
      </c>
      <c r="E91" s="11">
        <v>5</v>
      </c>
      <c r="F91" s="11">
        <v>6</v>
      </c>
      <c r="G91" s="1216">
        <v>7</v>
      </c>
      <c r="H91" s="1217"/>
      <c r="I91" s="11">
        <v>8</v>
      </c>
    </row>
    <row r="92" spans="1:9" ht="34.5" customHeight="1">
      <c r="A92" s="6"/>
      <c r="B92" s="5" t="s">
        <v>759</v>
      </c>
      <c r="C92" s="6"/>
      <c r="D92" s="6"/>
      <c r="E92" s="6"/>
      <c r="F92" s="6"/>
      <c r="G92" s="1209"/>
      <c r="H92" s="1097"/>
      <c r="I92" s="6"/>
    </row>
    <row r="93" spans="1:9" ht="15.75" customHeight="1">
      <c r="A93" s="4"/>
      <c r="B93" s="4"/>
      <c r="C93" s="4"/>
      <c r="D93" s="4"/>
      <c r="E93" s="4"/>
      <c r="F93" s="4"/>
      <c r="G93" s="1089"/>
      <c r="H93" s="1091"/>
      <c r="I93" s="4"/>
    </row>
    <row r="94" spans="1:9" ht="34.5" customHeight="1">
      <c r="A94" s="11">
        <v>9</v>
      </c>
      <c r="B94" s="5" t="s">
        <v>760</v>
      </c>
      <c r="C94" s="6"/>
      <c r="D94" s="6"/>
      <c r="E94" s="6"/>
      <c r="F94" s="6"/>
      <c r="G94" s="1209"/>
      <c r="H94" s="1097"/>
      <c r="I94" s="6"/>
    </row>
    <row r="95" spans="1:10" ht="211.5" customHeight="1">
      <c r="A95" s="1436" t="s">
        <v>761</v>
      </c>
      <c r="B95" s="1436"/>
      <c r="C95" s="1436"/>
      <c r="D95" s="1436"/>
      <c r="E95" s="1436"/>
      <c r="F95" s="1436"/>
      <c r="G95" s="1436"/>
      <c r="H95" s="1436"/>
      <c r="I95" s="1436"/>
      <c r="J95" s="1436"/>
    </row>
    <row r="96" spans="1:10" ht="17.25" customHeight="1">
      <c r="A96" s="1437" t="s">
        <v>137</v>
      </c>
      <c r="B96" s="1437"/>
      <c r="C96" s="1437"/>
      <c r="D96" s="1437"/>
      <c r="E96" s="1437"/>
      <c r="F96" s="1437"/>
      <c r="G96" s="1437"/>
      <c r="H96" s="1437"/>
      <c r="I96" s="1437"/>
      <c r="J96" s="1437"/>
    </row>
  </sheetData>
  <sheetProtection/>
  <mergeCells count="102">
    <mergeCell ref="A1:G1"/>
    <mergeCell ref="H1:J1"/>
    <mergeCell ref="A2:J2"/>
    <mergeCell ref="A3:A4"/>
    <mergeCell ref="B3:B4"/>
    <mergeCell ref="E3:E4"/>
    <mergeCell ref="F3:F4"/>
    <mergeCell ref="G3:H4"/>
    <mergeCell ref="I3:I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C76:E76"/>
    <mergeCell ref="G76:H76"/>
    <mergeCell ref="G90:H90"/>
    <mergeCell ref="G91:H91"/>
    <mergeCell ref="G92:H92"/>
    <mergeCell ref="G93:H93"/>
    <mergeCell ref="G77:H77"/>
    <mergeCell ref="G78:H78"/>
    <mergeCell ref="G79:H79"/>
    <mergeCell ref="G80:H80"/>
    <mergeCell ref="G81:H81"/>
    <mergeCell ref="G82:H82"/>
    <mergeCell ref="G94:H94"/>
    <mergeCell ref="G83:H83"/>
    <mergeCell ref="G84:H84"/>
    <mergeCell ref="G85:H85"/>
    <mergeCell ref="A95:J95"/>
    <mergeCell ref="A96:J96"/>
    <mergeCell ref="G86:H86"/>
    <mergeCell ref="G87:H87"/>
    <mergeCell ref="G88:H88"/>
    <mergeCell ref="G89:H8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Q59"/>
  <sheetViews>
    <sheetView view="pageBreakPreview" zoomScaleSheetLayoutView="100" zoomScalePageLayoutView="0" workbookViewId="0" topLeftCell="B39">
      <selection activeCell="B3" sqref="B3:Q50"/>
    </sheetView>
  </sheetViews>
  <sheetFormatPr defaultColWidth="9.33203125" defaultRowHeight="12.75"/>
  <cols>
    <col min="1" max="1" width="9.33203125" style="341" customWidth="1"/>
    <col min="2" max="2" width="7.16015625" style="341" customWidth="1"/>
    <col min="3" max="3" width="29.33203125" style="341" customWidth="1"/>
    <col min="4" max="4" width="5.16015625" style="341" hidden="1" customWidth="1"/>
    <col min="5" max="5" width="6.16015625" style="341" hidden="1" customWidth="1"/>
    <col min="6" max="6" width="14.83203125" style="341" customWidth="1"/>
    <col min="7" max="7" width="15.33203125" style="341" customWidth="1"/>
    <col min="8" max="8" width="13.66015625" style="341" customWidth="1"/>
    <col min="9" max="9" width="15.5" style="341" customWidth="1"/>
    <col min="10" max="11" width="14.5" style="341" customWidth="1"/>
    <col min="12" max="12" width="13.16015625" style="341" customWidth="1"/>
    <col min="13" max="13" width="14.16015625" style="341" customWidth="1"/>
    <col min="14" max="14" width="13.66015625" style="341" customWidth="1"/>
    <col min="15" max="15" width="14.33203125" style="341" customWidth="1"/>
    <col min="16" max="16" width="14.5" style="341" customWidth="1"/>
    <col min="17" max="17" width="15.33203125" style="341" customWidth="1"/>
    <col min="18" max="16384" width="9.33203125" style="341" customWidth="1"/>
  </cols>
  <sheetData>
    <row r="3" ht="12.75">
      <c r="I3" s="342" t="s">
        <v>1521</v>
      </c>
    </row>
    <row r="6" spans="3:6" ht="12.75">
      <c r="C6" s="341" t="s">
        <v>1522</v>
      </c>
      <c r="D6" s="342" t="s">
        <v>1523</v>
      </c>
      <c r="E6" s="342"/>
      <c r="F6" s="342"/>
    </row>
    <row r="8" spans="3:9" ht="15.75" customHeight="1">
      <c r="C8" s="1144" t="s">
        <v>1493</v>
      </c>
      <c r="D8" s="1144"/>
      <c r="E8" s="1144"/>
      <c r="F8" s="1144"/>
      <c r="I8" s="342" t="s">
        <v>1404</v>
      </c>
    </row>
    <row r="9" spans="3:9" ht="16.5" customHeight="1">
      <c r="C9" s="1144" t="s">
        <v>1403</v>
      </c>
      <c r="D9" s="1144"/>
      <c r="E9" s="1144"/>
      <c r="F9" s="1144"/>
      <c r="I9" s="342" t="s">
        <v>1402</v>
      </c>
    </row>
    <row r="10" spans="3:12" ht="12.75">
      <c r="C10" s="1144" t="s">
        <v>1492</v>
      </c>
      <c r="D10" s="1144"/>
      <c r="E10" s="1144"/>
      <c r="F10" s="1144"/>
      <c r="I10" s="341" t="s">
        <v>1524</v>
      </c>
      <c r="K10" s="341" t="s">
        <v>1401</v>
      </c>
      <c r="L10" s="341" t="s">
        <v>1490</v>
      </c>
    </row>
    <row r="11" spans="3:6" ht="12.75">
      <c r="C11" s="198" t="s">
        <v>2028</v>
      </c>
      <c r="D11" s="999"/>
      <c r="E11" s="999"/>
      <c r="F11" s="999"/>
    </row>
    <row r="12" spans="3:9" ht="26.25" customHeight="1">
      <c r="C12" s="1144" t="s">
        <v>1525</v>
      </c>
      <c r="D12" s="1144"/>
      <c r="E12" s="1144"/>
      <c r="F12" s="1144"/>
      <c r="I12" s="341" t="s">
        <v>1526</v>
      </c>
    </row>
    <row r="13" spans="3:9" ht="24.75" customHeight="1">
      <c r="C13" s="1144" t="s">
        <v>2034</v>
      </c>
      <c r="D13" s="1144"/>
      <c r="E13" s="1144"/>
      <c r="F13" s="1144"/>
      <c r="I13" s="341" t="s">
        <v>2015</v>
      </c>
    </row>
    <row r="14" spans="3:9" ht="12.75">
      <c r="C14" s="1144" t="s">
        <v>1529</v>
      </c>
      <c r="D14" s="1144"/>
      <c r="E14" s="1144"/>
      <c r="F14" s="1144"/>
      <c r="I14" s="341" t="s">
        <v>1530</v>
      </c>
    </row>
    <row r="15" spans="3:9" ht="26.25" customHeight="1">
      <c r="C15" s="1144" t="s">
        <v>2035</v>
      </c>
      <c r="D15" s="1144"/>
      <c r="E15" s="1144"/>
      <c r="F15" s="1144"/>
      <c r="I15" s="341" t="s">
        <v>1994</v>
      </c>
    </row>
    <row r="16" spans="3:9" ht="17.25" customHeight="1">
      <c r="C16" s="1144" t="s">
        <v>1533</v>
      </c>
      <c r="D16" s="1144"/>
      <c r="E16" s="1144"/>
      <c r="F16" s="1144"/>
      <c r="I16" s="343" t="s">
        <v>2036</v>
      </c>
    </row>
    <row r="17" spans="3:11" ht="12.75">
      <c r="C17" s="344" t="s">
        <v>1535</v>
      </c>
      <c r="D17" s="342"/>
      <c r="E17" s="342"/>
      <c r="I17" s="341" t="s">
        <v>1536</v>
      </c>
      <c r="K17" s="341" t="s">
        <v>1537</v>
      </c>
    </row>
    <row r="21" spans="11:13" ht="12.75">
      <c r="K21" s="1145" t="s">
        <v>1538</v>
      </c>
      <c r="L21" s="1145"/>
      <c r="M21" s="1145"/>
    </row>
    <row r="23" spans="2:17" ht="89.25">
      <c r="B23" s="345" t="s">
        <v>1467</v>
      </c>
      <c r="C23" s="345" t="s">
        <v>1539</v>
      </c>
      <c r="D23" s="345"/>
      <c r="E23" s="346"/>
      <c r="F23" s="347" t="s">
        <v>1540</v>
      </c>
      <c r="G23" s="1146" t="s">
        <v>1541</v>
      </c>
      <c r="H23" s="1146"/>
      <c r="I23" s="1146" t="s">
        <v>1542</v>
      </c>
      <c r="J23" s="1146"/>
      <c r="K23" s="1147" t="s">
        <v>1543</v>
      </c>
      <c r="L23" s="1148"/>
      <c r="M23" s="1148"/>
      <c r="N23" s="1148"/>
      <c r="O23" s="1148"/>
      <c r="P23" s="1149"/>
      <c r="Q23" s="347" t="s">
        <v>2014</v>
      </c>
    </row>
    <row r="24" spans="2:17" ht="38.25">
      <c r="B24" s="345"/>
      <c r="C24" s="345"/>
      <c r="D24" s="345"/>
      <c r="E24" s="346"/>
      <c r="F24" s="345"/>
      <c r="G24" s="348" t="s">
        <v>2009</v>
      </c>
      <c r="H24" s="348" t="s">
        <v>1546</v>
      </c>
      <c r="I24" s="348" t="s">
        <v>2010</v>
      </c>
      <c r="J24" s="348" t="s">
        <v>1546</v>
      </c>
      <c r="K24" s="348" t="s">
        <v>2011</v>
      </c>
      <c r="L24" s="348" t="s">
        <v>1546</v>
      </c>
      <c r="M24" s="348" t="s">
        <v>2012</v>
      </c>
      <c r="N24" s="348" t="s">
        <v>1546</v>
      </c>
      <c r="O24" s="348" t="s">
        <v>2013</v>
      </c>
      <c r="P24" s="348" t="s">
        <v>1546</v>
      </c>
      <c r="Q24" s="345"/>
    </row>
    <row r="25" spans="2:17" ht="12.75">
      <c r="B25" s="345">
        <v>1</v>
      </c>
      <c r="C25" s="345">
        <v>2</v>
      </c>
      <c r="D25" s="345"/>
      <c r="E25" s="346"/>
      <c r="F25" s="345">
        <v>3</v>
      </c>
      <c r="G25" s="345">
        <v>4</v>
      </c>
      <c r="H25" s="345">
        <v>5</v>
      </c>
      <c r="I25" s="345">
        <v>4</v>
      </c>
      <c r="J25" s="345">
        <v>7</v>
      </c>
      <c r="K25" s="345">
        <v>6</v>
      </c>
      <c r="L25" s="345">
        <v>9</v>
      </c>
      <c r="M25" s="345">
        <v>8</v>
      </c>
      <c r="N25" s="345">
        <v>11</v>
      </c>
      <c r="O25" s="345">
        <v>10</v>
      </c>
      <c r="P25" s="345">
        <v>13</v>
      </c>
      <c r="Q25" s="345">
        <v>14</v>
      </c>
    </row>
    <row r="26" spans="2:17" ht="12.75">
      <c r="B26" s="345">
        <v>1</v>
      </c>
      <c r="C26" s="350" t="s">
        <v>1551</v>
      </c>
      <c r="D26" s="345"/>
      <c r="E26" s="346"/>
      <c r="F26" s="345"/>
      <c r="G26" s="345">
        <v>79328778</v>
      </c>
      <c r="H26" s="345"/>
      <c r="I26" s="345">
        <v>79328778</v>
      </c>
      <c r="J26" s="345"/>
      <c r="K26" s="345">
        <v>79328778</v>
      </c>
      <c r="L26" s="345"/>
      <c r="M26" s="345">
        <v>79328778</v>
      </c>
      <c r="N26" s="345"/>
      <c r="O26" s="345">
        <v>79328778</v>
      </c>
      <c r="P26" s="345"/>
      <c r="Q26" s="345"/>
    </row>
    <row r="27" spans="2:17" ht="12.75">
      <c r="B27" s="345">
        <v>2</v>
      </c>
      <c r="C27" s="345" t="s">
        <v>1552</v>
      </c>
      <c r="D27" s="345"/>
      <c r="E27" s="346"/>
      <c r="F27" s="345"/>
      <c r="G27" s="345">
        <v>0</v>
      </c>
      <c r="H27" s="345"/>
      <c r="I27" s="345">
        <v>0</v>
      </c>
      <c r="J27" s="345"/>
      <c r="K27" s="345">
        <v>0</v>
      </c>
      <c r="L27" s="345"/>
      <c r="M27" s="345">
        <v>0</v>
      </c>
      <c r="N27" s="345"/>
      <c r="O27" s="345">
        <v>0</v>
      </c>
      <c r="P27" s="345"/>
      <c r="Q27" s="345"/>
    </row>
    <row r="28" spans="2:17" ht="12.75" customHeight="1">
      <c r="B28" s="345">
        <v>3</v>
      </c>
      <c r="C28" s="345" t="s">
        <v>1553</v>
      </c>
      <c r="D28" s="345"/>
      <c r="E28" s="346"/>
      <c r="F28" s="345">
        <v>3.34</v>
      </c>
      <c r="G28" s="353">
        <v>18688894</v>
      </c>
      <c r="H28" s="352">
        <f>+G28*F28/100</f>
        <v>624209.0596</v>
      </c>
      <c r="I28" s="353">
        <v>18688894</v>
      </c>
      <c r="J28" s="352">
        <f>+I28*F28/100</f>
        <v>624209.0596</v>
      </c>
      <c r="K28" s="345">
        <v>18688894</v>
      </c>
      <c r="L28" s="352">
        <f>+K28*F28/100</f>
        <v>624209.0596</v>
      </c>
      <c r="M28" s="345">
        <v>18688894</v>
      </c>
      <c r="N28" s="352">
        <f>+M28*F28/100</f>
        <v>624209.0596</v>
      </c>
      <c r="O28" s="345">
        <v>18688894</v>
      </c>
      <c r="P28" s="352">
        <f>+O28*F28/100</f>
        <v>624209.0596</v>
      </c>
      <c r="Q28" s="352">
        <f>L28+N28+P28</f>
        <v>1872627.1788</v>
      </c>
    </row>
    <row r="29" spans="2:17" ht="12.75" customHeight="1">
      <c r="B29" s="345">
        <v>4</v>
      </c>
      <c r="C29" s="345" t="s">
        <v>1554</v>
      </c>
      <c r="D29" s="345"/>
      <c r="E29" s="346"/>
      <c r="F29" s="345">
        <v>6.33</v>
      </c>
      <c r="G29" s="345">
        <v>3853262</v>
      </c>
      <c r="H29" s="352">
        <f aca="true" t="shared" si="0" ref="H29:H47">+G29*F29/100</f>
        <v>243911.4846</v>
      </c>
      <c r="I29" s="345">
        <v>3853262</v>
      </c>
      <c r="J29" s="352">
        <f aca="true" t="shared" si="1" ref="J29:J47">+I29*F29/100</f>
        <v>243911.4846</v>
      </c>
      <c r="K29" s="345">
        <v>3870887</v>
      </c>
      <c r="L29" s="352">
        <f aca="true" t="shared" si="2" ref="L29:L47">+K29*F29/100</f>
        <v>245027.1471</v>
      </c>
      <c r="M29" s="345">
        <v>3870887</v>
      </c>
      <c r="N29" s="352">
        <f aca="true" t="shared" si="3" ref="N29:N47">+M29*F29/100</f>
        <v>245027.1471</v>
      </c>
      <c r="O29" s="345">
        <v>3870887</v>
      </c>
      <c r="P29" s="352">
        <f aca="true" t="shared" si="4" ref="P29:P47">+O29*F29/100</f>
        <v>245027.1471</v>
      </c>
      <c r="Q29" s="352">
        <f aca="true" t="shared" si="5" ref="Q29:Q47">L29+N29+P29</f>
        <v>735081.4413000001</v>
      </c>
    </row>
    <row r="30" spans="2:17" ht="12.75" customHeight="1">
      <c r="B30" s="345">
        <v>5</v>
      </c>
      <c r="C30" s="345" t="s">
        <v>1555</v>
      </c>
      <c r="D30" s="345"/>
      <c r="E30" s="346"/>
      <c r="F30" s="345">
        <v>6.33</v>
      </c>
      <c r="G30" s="345">
        <v>4654606</v>
      </c>
      <c r="H30" s="352">
        <f t="shared" si="0"/>
        <v>294636.5598</v>
      </c>
      <c r="I30" s="345">
        <f>4654606+48400</f>
        <v>4703006</v>
      </c>
      <c r="J30" s="352">
        <f t="shared" si="1"/>
        <v>297700.2798</v>
      </c>
      <c r="K30" s="345">
        <v>4939206</v>
      </c>
      <c r="L30" s="352">
        <f t="shared" si="2"/>
        <v>312651.7398</v>
      </c>
      <c r="M30" s="345">
        <v>4939206</v>
      </c>
      <c r="N30" s="352">
        <f t="shared" si="3"/>
        <v>312651.7398</v>
      </c>
      <c r="O30" s="345">
        <v>4939206</v>
      </c>
      <c r="P30" s="352">
        <f t="shared" si="4"/>
        <v>312651.7398</v>
      </c>
      <c r="Q30" s="352">
        <f t="shared" si="5"/>
        <v>937955.2194</v>
      </c>
    </row>
    <row r="31" spans="2:17" ht="12.75" customHeight="1">
      <c r="B31" s="345">
        <v>6</v>
      </c>
      <c r="C31" s="345" t="s">
        <v>1556</v>
      </c>
      <c r="D31" s="345"/>
      <c r="E31" s="346"/>
      <c r="F31" s="345">
        <v>9.5</v>
      </c>
      <c r="G31" s="345">
        <v>7148858</v>
      </c>
      <c r="H31" s="352">
        <f t="shared" si="0"/>
        <v>679141.51</v>
      </c>
      <c r="I31" s="345">
        <v>7148858</v>
      </c>
      <c r="J31" s="352">
        <f t="shared" si="1"/>
        <v>679141.51</v>
      </c>
      <c r="K31" s="345">
        <v>7148858</v>
      </c>
      <c r="L31" s="352">
        <f t="shared" si="2"/>
        <v>679141.51</v>
      </c>
      <c r="M31" s="345">
        <v>7148858</v>
      </c>
      <c r="N31" s="352">
        <f t="shared" si="3"/>
        <v>679141.51</v>
      </c>
      <c r="O31" s="345">
        <v>7148858</v>
      </c>
      <c r="P31" s="352">
        <f t="shared" si="4"/>
        <v>679141.51</v>
      </c>
      <c r="Q31" s="352">
        <f t="shared" si="5"/>
        <v>2037424.53</v>
      </c>
    </row>
    <row r="32" spans="2:17" ht="12.75" customHeight="1">
      <c r="B32" s="345">
        <v>7</v>
      </c>
      <c r="C32" s="356" t="s">
        <v>1557</v>
      </c>
      <c r="D32" s="345"/>
      <c r="E32" s="346"/>
      <c r="F32" s="345">
        <v>5.28</v>
      </c>
      <c r="G32" s="345">
        <v>1427021</v>
      </c>
      <c r="H32" s="352">
        <f t="shared" si="0"/>
        <v>75346.70880000001</v>
      </c>
      <c r="I32" s="345">
        <v>1427021</v>
      </c>
      <c r="J32" s="352">
        <f t="shared" si="1"/>
        <v>75346.70880000001</v>
      </c>
      <c r="K32" s="345">
        <v>1427021</v>
      </c>
      <c r="L32" s="352">
        <f t="shared" si="2"/>
        <v>75346.70880000001</v>
      </c>
      <c r="M32" s="345">
        <v>1427021</v>
      </c>
      <c r="N32" s="352">
        <f t="shared" si="3"/>
        <v>75346.70880000001</v>
      </c>
      <c r="O32" s="345">
        <v>1427021</v>
      </c>
      <c r="P32" s="352">
        <f t="shared" si="4"/>
        <v>75346.70880000001</v>
      </c>
      <c r="Q32" s="352">
        <f t="shared" si="5"/>
        <v>226040.1264</v>
      </c>
    </row>
    <row r="33" spans="2:17" ht="12.75" customHeight="1">
      <c r="B33" s="345">
        <v>8</v>
      </c>
      <c r="C33" s="345" t="s">
        <v>1558</v>
      </c>
      <c r="D33" s="345"/>
      <c r="E33" s="346"/>
      <c r="F33" s="345">
        <v>15</v>
      </c>
      <c r="G33" s="345">
        <v>2924212</v>
      </c>
      <c r="H33" s="352">
        <f t="shared" si="0"/>
        <v>438631.8</v>
      </c>
      <c r="I33" s="345">
        <v>2924212</v>
      </c>
      <c r="J33" s="352">
        <f t="shared" si="1"/>
        <v>438631.8</v>
      </c>
      <c r="K33" s="345">
        <v>3048778</v>
      </c>
      <c r="L33" s="352">
        <f t="shared" si="2"/>
        <v>457316.7</v>
      </c>
      <c r="M33" s="345">
        <v>3048778</v>
      </c>
      <c r="N33" s="352">
        <f t="shared" si="3"/>
        <v>457316.7</v>
      </c>
      <c r="O33" s="345">
        <v>3048778</v>
      </c>
      <c r="P33" s="352">
        <f t="shared" si="4"/>
        <v>457316.7</v>
      </c>
      <c r="Q33" s="352">
        <f t="shared" si="5"/>
        <v>1371950.1</v>
      </c>
    </row>
    <row r="34" spans="2:17" ht="12.75" customHeight="1">
      <c r="B34" s="345">
        <v>9</v>
      </c>
      <c r="C34" s="345" t="s">
        <v>1559</v>
      </c>
      <c r="D34" s="345"/>
      <c r="E34" s="346"/>
      <c r="F34" s="345">
        <v>5.28</v>
      </c>
      <c r="G34" s="345">
        <v>3900485</v>
      </c>
      <c r="H34" s="352">
        <f t="shared" si="0"/>
        <v>205945.608</v>
      </c>
      <c r="I34" s="345">
        <v>3900485</v>
      </c>
      <c r="J34" s="352">
        <f t="shared" si="1"/>
        <v>205945.608</v>
      </c>
      <c r="K34" s="345">
        <v>3900485</v>
      </c>
      <c r="L34" s="352">
        <f t="shared" si="2"/>
        <v>205945.608</v>
      </c>
      <c r="M34" s="345">
        <v>3900485</v>
      </c>
      <c r="N34" s="352">
        <f t="shared" si="3"/>
        <v>205945.608</v>
      </c>
      <c r="O34" s="345">
        <v>3900485</v>
      </c>
      <c r="P34" s="352">
        <f t="shared" si="4"/>
        <v>205945.608</v>
      </c>
      <c r="Q34" s="352">
        <f t="shared" si="5"/>
        <v>617836.824</v>
      </c>
    </row>
    <row r="35" spans="2:17" ht="12.75" customHeight="1">
      <c r="B35" s="345">
        <v>10</v>
      </c>
      <c r="C35" s="345" t="s">
        <v>1560</v>
      </c>
      <c r="D35" s="345"/>
      <c r="E35" s="346"/>
      <c r="F35" s="345">
        <v>3.34</v>
      </c>
      <c r="G35" s="345">
        <v>5677885</v>
      </c>
      <c r="H35" s="352">
        <f t="shared" si="0"/>
        <v>189641.359</v>
      </c>
      <c r="I35" s="345">
        <v>5677885</v>
      </c>
      <c r="J35" s="352">
        <f t="shared" si="1"/>
        <v>189641.359</v>
      </c>
      <c r="K35" s="345">
        <v>5677885</v>
      </c>
      <c r="L35" s="352">
        <f t="shared" si="2"/>
        <v>189641.359</v>
      </c>
      <c r="M35" s="345">
        <v>5677885</v>
      </c>
      <c r="N35" s="352">
        <f t="shared" si="3"/>
        <v>189641.359</v>
      </c>
      <c r="O35" s="345">
        <v>5677885</v>
      </c>
      <c r="P35" s="352">
        <f t="shared" si="4"/>
        <v>189641.359</v>
      </c>
      <c r="Q35" s="352">
        <f t="shared" si="5"/>
        <v>568924.077</v>
      </c>
    </row>
    <row r="36" spans="2:17" ht="12.75" customHeight="1">
      <c r="B36" s="345">
        <v>11</v>
      </c>
      <c r="C36" s="345" t="s">
        <v>1561</v>
      </c>
      <c r="D36" s="345"/>
      <c r="E36" s="346"/>
      <c r="F36" s="345">
        <v>5.28</v>
      </c>
      <c r="G36" s="345">
        <v>1243072811</v>
      </c>
      <c r="H36" s="352">
        <f t="shared" si="0"/>
        <v>65634244.4208</v>
      </c>
      <c r="I36" s="345">
        <v>1243072811</v>
      </c>
      <c r="J36" s="352">
        <f t="shared" si="1"/>
        <v>65634244.4208</v>
      </c>
      <c r="K36" s="345">
        <v>1243072811</v>
      </c>
      <c r="L36" s="352">
        <f t="shared" si="2"/>
        <v>65634244.4208</v>
      </c>
      <c r="M36" s="345">
        <v>1243072811</v>
      </c>
      <c r="N36" s="352">
        <f t="shared" si="3"/>
        <v>65634244.4208</v>
      </c>
      <c r="O36" s="345">
        <v>1243072811</v>
      </c>
      <c r="P36" s="352">
        <f t="shared" si="4"/>
        <v>65634244.4208</v>
      </c>
      <c r="Q36" s="352">
        <f t="shared" si="5"/>
        <v>196902733.2624</v>
      </c>
    </row>
    <row r="37" spans="2:17" ht="12.75" customHeight="1">
      <c r="B37" s="345">
        <v>12</v>
      </c>
      <c r="C37" s="345" t="s">
        <v>1562</v>
      </c>
      <c r="D37" s="345"/>
      <c r="E37" s="345"/>
      <c r="F37" s="345">
        <v>5.28</v>
      </c>
      <c r="G37" s="345">
        <v>64878918</v>
      </c>
      <c r="H37" s="352">
        <f t="shared" si="0"/>
        <v>3425606.8704000004</v>
      </c>
      <c r="I37" s="345">
        <v>64878918</v>
      </c>
      <c r="J37" s="352">
        <f t="shared" si="1"/>
        <v>3425606.8704000004</v>
      </c>
      <c r="K37" s="345">
        <v>64878918</v>
      </c>
      <c r="L37" s="352">
        <f t="shared" si="2"/>
        <v>3425606.8704000004</v>
      </c>
      <c r="M37" s="345">
        <v>64878918</v>
      </c>
      <c r="N37" s="352">
        <f t="shared" si="3"/>
        <v>3425606.8704000004</v>
      </c>
      <c r="O37" s="345">
        <v>64878918</v>
      </c>
      <c r="P37" s="352">
        <f t="shared" si="4"/>
        <v>3425606.8704000004</v>
      </c>
      <c r="Q37" s="352">
        <f t="shared" si="5"/>
        <v>10276820.611200001</v>
      </c>
    </row>
    <row r="38" spans="2:17" ht="12.75" customHeight="1">
      <c r="B38" s="345">
        <v>13</v>
      </c>
      <c r="C38" s="345" t="s">
        <v>1563</v>
      </c>
      <c r="D38" s="345"/>
      <c r="E38" s="345"/>
      <c r="F38" s="345">
        <v>3.34</v>
      </c>
      <c r="G38" s="345">
        <v>131393597</v>
      </c>
      <c r="H38" s="352">
        <f t="shared" si="0"/>
        <v>4388546.1398</v>
      </c>
      <c r="I38" s="345">
        <v>131393597</v>
      </c>
      <c r="J38" s="352">
        <f t="shared" si="1"/>
        <v>4388546.1398</v>
      </c>
      <c r="K38" s="345">
        <v>131393597</v>
      </c>
      <c r="L38" s="352">
        <f t="shared" si="2"/>
        <v>4388546.1398</v>
      </c>
      <c r="M38" s="345">
        <v>131393597</v>
      </c>
      <c r="N38" s="352">
        <f t="shared" si="3"/>
        <v>4388546.1398</v>
      </c>
      <c r="O38" s="345">
        <v>131393597</v>
      </c>
      <c r="P38" s="352">
        <f t="shared" si="4"/>
        <v>4388546.1398</v>
      </c>
      <c r="Q38" s="352">
        <f t="shared" si="5"/>
        <v>13165638.4194</v>
      </c>
    </row>
    <row r="39" spans="2:17" ht="12.75" customHeight="1">
      <c r="B39" s="345">
        <v>14</v>
      </c>
      <c r="C39" s="357" t="s">
        <v>1564</v>
      </c>
      <c r="D39" s="345"/>
      <c r="E39" s="345"/>
      <c r="F39" s="345">
        <v>5.28</v>
      </c>
      <c r="G39" s="345">
        <v>11568190</v>
      </c>
      <c r="H39" s="352">
        <f t="shared" si="0"/>
        <v>610800.432</v>
      </c>
      <c r="I39" s="345">
        <v>11568190</v>
      </c>
      <c r="J39" s="352">
        <f t="shared" si="1"/>
        <v>610800.432</v>
      </c>
      <c r="K39" s="345">
        <v>11568190</v>
      </c>
      <c r="L39" s="352">
        <f t="shared" si="2"/>
        <v>610800.432</v>
      </c>
      <c r="M39" s="345">
        <v>11568190</v>
      </c>
      <c r="N39" s="352">
        <f t="shared" si="3"/>
        <v>610800.432</v>
      </c>
      <c r="O39" s="345">
        <v>11568190</v>
      </c>
      <c r="P39" s="352">
        <f t="shared" si="4"/>
        <v>610800.432</v>
      </c>
      <c r="Q39" s="352">
        <f t="shared" si="5"/>
        <v>1832401.296</v>
      </c>
    </row>
    <row r="40" spans="2:17" ht="12.75" customHeight="1">
      <c r="B40" s="345">
        <v>15</v>
      </c>
      <c r="C40" s="357" t="s">
        <v>1565</v>
      </c>
      <c r="D40" s="345"/>
      <c r="E40" s="345"/>
      <c r="F40" s="345">
        <v>3.34</v>
      </c>
      <c r="G40" s="345">
        <v>0</v>
      </c>
      <c r="H40" s="352">
        <f t="shared" si="0"/>
        <v>0</v>
      </c>
      <c r="I40" s="345">
        <v>0</v>
      </c>
      <c r="J40" s="352">
        <f t="shared" si="1"/>
        <v>0</v>
      </c>
      <c r="K40" s="345">
        <v>0</v>
      </c>
      <c r="L40" s="352">
        <f t="shared" si="2"/>
        <v>0</v>
      </c>
      <c r="M40" s="345">
        <v>0</v>
      </c>
      <c r="N40" s="352">
        <f t="shared" si="3"/>
        <v>0</v>
      </c>
      <c r="O40" s="345">
        <v>0</v>
      </c>
      <c r="P40" s="352">
        <f t="shared" si="4"/>
        <v>0</v>
      </c>
      <c r="Q40" s="352">
        <f t="shared" si="5"/>
        <v>0</v>
      </c>
    </row>
    <row r="41" spans="2:17" ht="12.75" customHeight="1">
      <c r="B41" s="345">
        <v>16</v>
      </c>
      <c r="C41" s="345" t="s">
        <v>1566</v>
      </c>
      <c r="D41" s="345"/>
      <c r="E41" s="345"/>
      <c r="F41" s="345">
        <v>3.34</v>
      </c>
      <c r="G41" s="345">
        <v>18526021</v>
      </c>
      <c r="H41" s="352">
        <f t="shared" si="0"/>
        <v>618769.1014</v>
      </c>
      <c r="I41" s="345">
        <v>18526021</v>
      </c>
      <c r="J41" s="352">
        <f t="shared" si="1"/>
        <v>618769.1014</v>
      </c>
      <c r="K41" s="345">
        <v>18526021</v>
      </c>
      <c r="L41" s="352">
        <f t="shared" si="2"/>
        <v>618769.1014</v>
      </c>
      <c r="M41" s="345">
        <v>18526021</v>
      </c>
      <c r="N41" s="352">
        <f t="shared" si="3"/>
        <v>618769.1014</v>
      </c>
      <c r="O41" s="345">
        <v>18526021</v>
      </c>
      <c r="P41" s="352">
        <f t="shared" si="4"/>
        <v>618769.1014</v>
      </c>
      <c r="Q41" s="352">
        <f t="shared" si="5"/>
        <v>1856307.3042000001</v>
      </c>
    </row>
    <row r="42" spans="2:17" ht="12.75" customHeight="1">
      <c r="B42" s="345">
        <v>17</v>
      </c>
      <c r="C42" s="345" t="s">
        <v>1567</v>
      </c>
      <c r="D42" s="345"/>
      <c r="E42" s="345"/>
      <c r="F42" s="345">
        <v>3.34</v>
      </c>
      <c r="G42" s="345">
        <v>16074919</v>
      </c>
      <c r="H42" s="352">
        <f t="shared" si="0"/>
        <v>536902.2946</v>
      </c>
      <c r="I42" s="345">
        <v>16074919</v>
      </c>
      <c r="J42" s="352">
        <f t="shared" si="1"/>
        <v>536902.2946</v>
      </c>
      <c r="K42" s="345">
        <v>16074919</v>
      </c>
      <c r="L42" s="352">
        <f t="shared" si="2"/>
        <v>536902.2946</v>
      </c>
      <c r="M42" s="345">
        <v>16074919</v>
      </c>
      <c r="N42" s="352">
        <f t="shared" si="3"/>
        <v>536902.2946</v>
      </c>
      <c r="O42" s="345">
        <v>16074919</v>
      </c>
      <c r="P42" s="352">
        <f t="shared" si="4"/>
        <v>536902.2946</v>
      </c>
      <c r="Q42" s="352">
        <f t="shared" si="5"/>
        <v>1610706.8838</v>
      </c>
    </row>
    <row r="43" spans="2:17" ht="12.75" customHeight="1">
      <c r="B43" s="345">
        <v>18</v>
      </c>
      <c r="C43" s="345" t="s">
        <v>1568</v>
      </c>
      <c r="D43" s="345"/>
      <c r="E43" s="345"/>
      <c r="F43" s="345">
        <v>3.34</v>
      </c>
      <c r="G43" s="345">
        <v>57000</v>
      </c>
      <c r="H43" s="352">
        <f t="shared" si="0"/>
        <v>1903.8</v>
      </c>
      <c r="I43" s="345">
        <v>57000</v>
      </c>
      <c r="J43" s="352">
        <f t="shared" si="1"/>
        <v>1903.8</v>
      </c>
      <c r="K43" s="345">
        <v>57000</v>
      </c>
      <c r="L43" s="352">
        <f t="shared" si="2"/>
        <v>1903.8</v>
      </c>
      <c r="M43" s="345">
        <v>57000</v>
      </c>
      <c r="N43" s="352">
        <f t="shared" si="3"/>
        <v>1903.8</v>
      </c>
      <c r="O43" s="345">
        <v>57000</v>
      </c>
      <c r="P43" s="352">
        <f t="shared" si="4"/>
        <v>1903.8</v>
      </c>
      <c r="Q43" s="352">
        <f t="shared" si="5"/>
        <v>5711.4</v>
      </c>
    </row>
    <row r="44" spans="2:17" ht="12.75" customHeight="1">
      <c r="B44" s="345">
        <v>19</v>
      </c>
      <c r="C44" s="345" t="s">
        <v>1569</v>
      </c>
      <c r="D44" s="345"/>
      <c r="E44" s="345"/>
      <c r="F44" s="345">
        <v>3.34</v>
      </c>
      <c r="G44" s="345">
        <v>193613</v>
      </c>
      <c r="H44" s="352">
        <f t="shared" si="0"/>
        <v>6466.6741999999995</v>
      </c>
      <c r="I44" s="345">
        <v>193613</v>
      </c>
      <c r="J44" s="352">
        <f t="shared" si="1"/>
        <v>6466.6741999999995</v>
      </c>
      <c r="K44" s="345">
        <v>193613</v>
      </c>
      <c r="L44" s="352">
        <f t="shared" si="2"/>
        <v>6466.6741999999995</v>
      </c>
      <c r="M44" s="345">
        <v>193613</v>
      </c>
      <c r="N44" s="352">
        <f t="shared" si="3"/>
        <v>6466.6741999999995</v>
      </c>
      <c r="O44" s="345">
        <v>193613</v>
      </c>
      <c r="P44" s="352">
        <f t="shared" si="4"/>
        <v>6466.6741999999995</v>
      </c>
      <c r="Q44" s="352">
        <f t="shared" si="5"/>
        <v>19400.022599999997</v>
      </c>
    </row>
    <row r="45" spans="2:17" ht="12.75" customHeight="1">
      <c r="B45" s="345">
        <v>20</v>
      </c>
      <c r="C45" s="345" t="s">
        <v>1570</v>
      </c>
      <c r="D45" s="345"/>
      <c r="E45" s="345"/>
      <c r="F45" s="345">
        <v>5.28</v>
      </c>
      <c r="G45" s="345">
        <v>80181</v>
      </c>
      <c r="H45" s="352">
        <f t="shared" si="0"/>
        <v>4233.5568</v>
      </c>
      <c r="I45" s="345">
        <v>80181</v>
      </c>
      <c r="J45" s="352">
        <f t="shared" si="1"/>
        <v>4233.5568</v>
      </c>
      <c r="K45" s="345">
        <v>80181</v>
      </c>
      <c r="L45" s="352">
        <f t="shared" si="2"/>
        <v>4233.5568</v>
      </c>
      <c r="M45" s="345">
        <v>80181</v>
      </c>
      <c r="N45" s="352">
        <f t="shared" si="3"/>
        <v>4233.5568</v>
      </c>
      <c r="O45" s="345">
        <v>80181</v>
      </c>
      <c r="P45" s="352">
        <f t="shared" si="4"/>
        <v>4233.5568</v>
      </c>
      <c r="Q45" s="352">
        <f t="shared" si="5"/>
        <v>12700.6704</v>
      </c>
    </row>
    <row r="46" spans="2:17" ht="12.75" customHeight="1">
      <c r="B46" s="345">
        <v>21</v>
      </c>
      <c r="C46" s="345" t="s">
        <v>1571</v>
      </c>
      <c r="D46" s="345"/>
      <c r="E46" s="345"/>
      <c r="F46" s="345">
        <v>5.28</v>
      </c>
      <c r="G46" s="345">
        <v>8275065</v>
      </c>
      <c r="H46" s="352">
        <f t="shared" si="0"/>
        <v>436923.43200000003</v>
      </c>
      <c r="I46" s="345">
        <v>8275065</v>
      </c>
      <c r="J46" s="352">
        <f t="shared" si="1"/>
        <v>436923.43200000003</v>
      </c>
      <c r="K46" s="345">
        <v>8275065</v>
      </c>
      <c r="L46" s="352">
        <f t="shared" si="2"/>
        <v>436923.43200000003</v>
      </c>
      <c r="M46" s="345">
        <v>8275065</v>
      </c>
      <c r="N46" s="352">
        <f t="shared" si="3"/>
        <v>436923.43200000003</v>
      </c>
      <c r="O46" s="345">
        <v>8275065</v>
      </c>
      <c r="P46" s="352">
        <f t="shared" si="4"/>
        <v>436923.43200000003</v>
      </c>
      <c r="Q46" s="352">
        <f t="shared" si="5"/>
        <v>1310770.296</v>
      </c>
    </row>
    <row r="47" spans="2:17" ht="12.75" customHeight="1">
      <c r="B47" s="345">
        <v>22</v>
      </c>
      <c r="C47" s="345" t="s">
        <v>1572</v>
      </c>
      <c r="D47" s="345"/>
      <c r="E47" s="345"/>
      <c r="F47" s="345">
        <v>5.28</v>
      </c>
      <c r="G47" s="345">
        <v>44672932</v>
      </c>
      <c r="H47" s="352">
        <f t="shared" si="0"/>
        <v>2358730.8096000003</v>
      </c>
      <c r="I47" s="345">
        <v>44672932</v>
      </c>
      <c r="J47" s="352">
        <f t="shared" si="1"/>
        <v>2358730.8096000003</v>
      </c>
      <c r="K47" s="345">
        <v>44672932</v>
      </c>
      <c r="L47" s="352">
        <f t="shared" si="2"/>
        <v>2358730.8096000003</v>
      </c>
      <c r="M47" s="345">
        <v>44672932</v>
      </c>
      <c r="N47" s="352">
        <f t="shared" si="3"/>
        <v>2358730.8096000003</v>
      </c>
      <c r="O47" s="345">
        <v>44672932</v>
      </c>
      <c r="P47" s="352">
        <f t="shared" si="4"/>
        <v>2358730.8096000003</v>
      </c>
      <c r="Q47" s="352">
        <f t="shared" si="5"/>
        <v>7076192.428800001</v>
      </c>
    </row>
    <row r="48" spans="2:17" ht="12.75" customHeight="1">
      <c r="B48" s="345"/>
      <c r="C48" s="358" t="s">
        <v>1387</v>
      </c>
      <c r="D48" s="345"/>
      <c r="E48" s="345"/>
      <c r="F48" s="345"/>
      <c r="G48" s="359">
        <f>SUM(G26:G47)</f>
        <v>1666397248</v>
      </c>
      <c r="H48" s="359">
        <f>SUM(H26:H47)</f>
        <v>80774591.62139997</v>
      </c>
      <c r="I48" s="359">
        <f aca="true" t="shared" si="6" ref="I48:Q48">SUM(I26:I47)</f>
        <v>1666445648</v>
      </c>
      <c r="J48" s="359">
        <f t="shared" si="6"/>
        <v>80777655.34139997</v>
      </c>
      <c r="K48" s="359">
        <f t="shared" si="6"/>
        <v>1666824039</v>
      </c>
      <c r="L48" s="359">
        <f t="shared" si="6"/>
        <v>80812407.36389998</v>
      </c>
      <c r="M48" s="359">
        <f t="shared" si="6"/>
        <v>1666824039</v>
      </c>
      <c r="N48" s="359">
        <f t="shared" si="6"/>
        <v>80812407.36389998</v>
      </c>
      <c r="O48" s="359">
        <f t="shared" si="6"/>
        <v>1666824039</v>
      </c>
      <c r="P48" s="359">
        <f t="shared" si="6"/>
        <v>80812407.36389998</v>
      </c>
      <c r="Q48" s="359">
        <f t="shared" si="6"/>
        <v>242437222.0917</v>
      </c>
    </row>
    <row r="49" spans="2:17" ht="12.75">
      <c r="B49" s="350" t="s">
        <v>1382</v>
      </c>
      <c r="C49" s="350"/>
      <c r="D49" s="350"/>
      <c r="E49" s="350"/>
      <c r="F49" s="350"/>
      <c r="G49" s="350"/>
      <c r="H49" s="350"/>
      <c r="I49" s="350"/>
      <c r="J49" s="350"/>
      <c r="K49" s="350"/>
      <c r="L49" s="350"/>
      <c r="M49" s="350"/>
      <c r="N49" s="350"/>
      <c r="O49" s="350"/>
      <c r="P49" s="350"/>
      <c r="Q49" s="350"/>
    </row>
    <row r="50" spans="2:17" ht="12.75">
      <c r="B50" s="350" t="s">
        <v>1573</v>
      </c>
      <c r="C50" s="350"/>
      <c r="D50" s="350"/>
      <c r="E50" s="350"/>
      <c r="F50" s="350"/>
      <c r="G50" s="350"/>
      <c r="H50" s="360">
        <f>+H48/(G48-G26)*100</f>
        <v>5.089546742832083</v>
      </c>
      <c r="I50" s="350"/>
      <c r="J50" s="360">
        <f>+J48/(I48-I26)*100</f>
        <v>5.089584571134951</v>
      </c>
      <c r="K50" s="360"/>
      <c r="L50" s="360">
        <f>+L48/(K48-K26)*100</f>
        <v>5.090560542082776</v>
      </c>
      <c r="M50" s="360"/>
      <c r="N50" s="360">
        <f>+N48/(M48-M26)*100</f>
        <v>5.090560542082776</v>
      </c>
      <c r="O50" s="360"/>
      <c r="P50" s="360">
        <f>+P48/(O48-O26)*100</f>
        <v>5.090560542082776</v>
      </c>
      <c r="Q50" s="361"/>
    </row>
    <row r="52" ht="12.75">
      <c r="B52" s="341" t="s">
        <v>1574</v>
      </c>
    </row>
    <row r="53" spans="8:12" ht="15">
      <c r="H53" s="362"/>
      <c r="I53" s="363"/>
      <c r="J53" s="364"/>
      <c r="K53" s="364"/>
      <c r="L53" s="364"/>
    </row>
    <row r="54" spans="8:13" ht="15">
      <c r="H54" s="362"/>
      <c r="I54" s="363"/>
      <c r="J54" s="364"/>
      <c r="K54" s="364"/>
      <c r="L54" s="364"/>
      <c r="M54" s="341">
        <f>6.98/(146.45-7.93)*100</f>
        <v>5.038983540282993</v>
      </c>
    </row>
    <row r="55" spans="7:15" ht="15">
      <c r="G55" s="362"/>
      <c r="H55" s="362"/>
      <c r="I55" s="363"/>
      <c r="J55" s="364"/>
      <c r="O55" s="365">
        <f>+O48-O26</f>
        <v>1587495261</v>
      </c>
    </row>
    <row r="56" spans="9:15" ht="15.75">
      <c r="I56" s="366"/>
      <c r="J56" s="366"/>
      <c r="K56" s="366"/>
      <c r="O56" s="341">
        <f>+O55*0.9</f>
        <v>1428745734.9</v>
      </c>
    </row>
    <row r="57" ht="12.75">
      <c r="N57" s="367"/>
    </row>
    <row r="58" spans="10:15" ht="12.75">
      <c r="J58" s="341">
        <f>+K48*0.9</f>
        <v>1500141635.1000001</v>
      </c>
      <c r="N58" s="367"/>
      <c r="O58" s="368"/>
    </row>
    <row r="59" ht="12.75">
      <c r="J59" s="341">
        <f>564405/18688894</f>
        <v>0.03020002146729496</v>
      </c>
    </row>
  </sheetData>
  <sheetProtection/>
  <mergeCells count="12">
    <mergeCell ref="C15:F15"/>
    <mergeCell ref="C16:F16"/>
    <mergeCell ref="K21:M21"/>
    <mergeCell ref="G23:H23"/>
    <mergeCell ref="I23:J23"/>
    <mergeCell ref="K23:P23"/>
    <mergeCell ref="C8:F8"/>
    <mergeCell ref="C9:F9"/>
    <mergeCell ref="C10:F10"/>
    <mergeCell ref="C12:F12"/>
    <mergeCell ref="C13:F13"/>
    <mergeCell ref="C14:F14"/>
  </mergeCells>
  <printOptions/>
  <pageMargins left="0.63" right="0.35" top="0.5511811023622047" bottom="0.4724409448818898" header="0.35433070866141736" footer="0.35433070866141736"/>
  <pageSetup horizontalDpi="600" verticalDpi="600" orientation="landscape" scale="65" r:id="rId1"/>
</worksheet>
</file>

<file path=xl/worksheets/sheet80.xml><?xml version="1.0" encoding="utf-8"?>
<worksheet xmlns="http://schemas.openxmlformats.org/spreadsheetml/2006/main" xmlns:r="http://schemas.openxmlformats.org/officeDocument/2006/relationships">
  <dimension ref="A1:J68"/>
  <sheetViews>
    <sheetView zoomScalePageLayoutView="0" workbookViewId="0" topLeftCell="A1">
      <selection activeCell="A1" sqref="A1:G1"/>
    </sheetView>
  </sheetViews>
  <sheetFormatPr defaultColWidth="9.33203125" defaultRowHeight="12.75"/>
  <cols>
    <col min="1" max="1" width="8" style="0" customWidth="1"/>
    <col min="2" max="2" width="54.66015625" style="0" customWidth="1"/>
    <col min="3" max="3" width="22.83203125" style="0" customWidth="1"/>
    <col min="4" max="4" width="16.5" style="0" customWidth="1"/>
    <col min="5" max="5" width="13.16015625" style="0" customWidth="1"/>
    <col min="6" max="6" width="16.5" style="0" customWidth="1"/>
    <col min="7" max="7" width="12.16015625" style="0" customWidth="1"/>
    <col min="8" max="8" width="4" style="0" customWidth="1"/>
    <col min="9" max="9" width="21.33203125" style="0" customWidth="1"/>
    <col min="10" max="10" width="12.5" style="0" customWidth="1"/>
  </cols>
  <sheetData>
    <row r="1" spans="1:10" ht="89.25" customHeight="1">
      <c r="A1" s="1436" t="s">
        <v>762</v>
      </c>
      <c r="B1" s="1436"/>
      <c r="C1" s="1436"/>
      <c r="D1" s="1436"/>
      <c r="E1" s="1436"/>
      <c r="F1" s="1436"/>
      <c r="G1" s="1436"/>
      <c r="H1" s="1502" t="s">
        <v>763</v>
      </c>
      <c r="I1" s="1502"/>
      <c r="J1" s="1502"/>
    </row>
    <row r="2" spans="1:10" ht="17.25" customHeight="1">
      <c r="A2" s="1439" t="s">
        <v>463</v>
      </c>
      <c r="B2" s="1439"/>
      <c r="C2" s="1439"/>
      <c r="D2" s="1439"/>
      <c r="E2" s="1439"/>
      <c r="F2" s="1439"/>
      <c r="G2" s="1439"/>
      <c r="H2" s="1439"/>
      <c r="I2" s="1439"/>
      <c r="J2" s="1439"/>
    </row>
    <row r="3" spans="1:9" ht="87" customHeight="1">
      <c r="A3" s="49" t="s">
        <v>273</v>
      </c>
      <c r="B3" s="39" t="s">
        <v>666</v>
      </c>
      <c r="C3" s="2" t="s">
        <v>764</v>
      </c>
      <c r="D3" s="2" t="s">
        <v>765</v>
      </c>
      <c r="E3" s="2" t="s">
        <v>766</v>
      </c>
      <c r="F3" s="8" t="s">
        <v>670</v>
      </c>
      <c r="G3" s="1080" t="s">
        <v>767</v>
      </c>
      <c r="H3" s="1082"/>
      <c r="I3" s="2" t="s">
        <v>768</v>
      </c>
    </row>
    <row r="4" spans="1:9" ht="17.25" customHeight="1">
      <c r="A4" s="11">
        <v>1</v>
      </c>
      <c r="B4" s="11">
        <v>2</v>
      </c>
      <c r="C4" s="11">
        <v>3</v>
      </c>
      <c r="D4" s="11">
        <v>4</v>
      </c>
      <c r="E4" s="11">
        <v>5</v>
      </c>
      <c r="F4" s="11">
        <v>6</v>
      </c>
      <c r="G4" s="1216">
        <v>7</v>
      </c>
      <c r="H4" s="1217"/>
      <c r="I4" s="11">
        <v>8</v>
      </c>
    </row>
    <row r="5" spans="1:9" ht="17.25" customHeight="1">
      <c r="A5" s="11">
        <v>1</v>
      </c>
      <c r="B5" s="1" t="s">
        <v>674</v>
      </c>
      <c r="C5" s="4"/>
      <c r="D5" s="4"/>
      <c r="E5" s="4"/>
      <c r="F5" s="4"/>
      <c r="G5" s="1089"/>
      <c r="H5" s="1091"/>
      <c r="I5" s="4"/>
    </row>
    <row r="6" spans="1:9" ht="17.25" customHeight="1">
      <c r="A6" s="48">
        <v>1.1</v>
      </c>
      <c r="B6" s="3" t="s">
        <v>440</v>
      </c>
      <c r="C6" s="4"/>
      <c r="D6" s="4"/>
      <c r="E6" s="4"/>
      <c r="F6" s="4"/>
      <c r="G6" s="1089"/>
      <c r="H6" s="1091"/>
      <c r="I6" s="4"/>
    </row>
    <row r="7" spans="1:9" ht="17.25" customHeight="1">
      <c r="A7" s="48">
        <v>1.2</v>
      </c>
      <c r="B7" s="3" t="s">
        <v>769</v>
      </c>
      <c r="C7" s="4"/>
      <c r="D7" s="4"/>
      <c r="E7" s="4"/>
      <c r="F7" s="4"/>
      <c r="G7" s="1089"/>
      <c r="H7" s="1091"/>
      <c r="I7" s="4"/>
    </row>
    <row r="8" spans="1:9" ht="34.5" customHeight="1">
      <c r="A8" s="48">
        <v>1.3</v>
      </c>
      <c r="B8" s="5" t="s">
        <v>676</v>
      </c>
      <c r="C8" s="6"/>
      <c r="D8" s="6"/>
      <c r="E8" s="6"/>
      <c r="F8" s="6"/>
      <c r="G8" s="1209"/>
      <c r="H8" s="1097"/>
      <c r="I8" s="6"/>
    </row>
    <row r="9" spans="1:9" ht="17.25" customHeight="1">
      <c r="A9" s="4"/>
      <c r="B9" s="3" t="s">
        <v>770</v>
      </c>
      <c r="C9" s="4"/>
      <c r="D9" s="4"/>
      <c r="E9" s="4"/>
      <c r="F9" s="4"/>
      <c r="G9" s="1089"/>
      <c r="H9" s="1091"/>
      <c r="I9" s="4"/>
    </row>
    <row r="10" spans="1:9" ht="17.25" customHeight="1">
      <c r="A10" s="11">
        <v>2</v>
      </c>
      <c r="B10" s="1" t="s">
        <v>678</v>
      </c>
      <c r="C10" s="4"/>
      <c r="D10" s="4"/>
      <c r="E10" s="4"/>
      <c r="F10" s="4"/>
      <c r="G10" s="1089"/>
      <c r="H10" s="1091"/>
      <c r="I10" s="4"/>
    </row>
    <row r="11" spans="1:9" ht="17.25" customHeight="1">
      <c r="A11" s="12">
        <v>2.1</v>
      </c>
      <c r="B11" s="1" t="s">
        <v>679</v>
      </c>
      <c r="C11" s="4"/>
      <c r="D11" s="4"/>
      <c r="E11" s="4"/>
      <c r="F11" s="4"/>
      <c r="G11" s="1089"/>
      <c r="H11" s="1091"/>
      <c r="I11" s="4"/>
    </row>
    <row r="12" spans="1:9" ht="17.25" customHeight="1">
      <c r="A12" s="12">
        <v>2.2</v>
      </c>
      <c r="B12" s="1" t="s">
        <v>680</v>
      </c>
      <c r="C12" s="4"/>
      <c r="D12" s="4"/>
      <c r="E12" s="4"/>
      <c r="F12" s="4"/>
      <c r="G12" s="1089"/>
      <c r="H12" s="1091"/>
      <c r="I12" s="4"/>
    </row>
    <row r="13" spans="1:9" ht="17.25" customHeight="1">
      <c r="A13" s="12">
        <v>2.3</v>
      </c>
      <c r="B13" s="1" t="s">
        <v>771</v>
      </c>
      <c r="C13" s="4"/>
      <c r="D13" s="4"/>
      <c r="E13" s="4"/>
      <c r="F13" s="4"/>
      <c r="G13" s="1089"/>
      <c r="H13" s="1091"/>
      <c r="I13" s="4"/>
    </row>
    <row r="14" spans="1:9" ht="17.25" customHeight="1">
      <c r="A14" s="12">
        <v>2.4</v>
      </c>
      <c r="B14" s="1" t="s">
        <v>681</v>
      </c>
      <c r="C14" s="4"/>
      <c r="D14" s="4"/>
      <c r="E14" s="4"/>
      <c r="F14" s="4"/>
      <c r="G14" s="1089"/>
      <c r="H14" s="1091"/>
      <c r="I14" s="4"/>
    </row>
    <row r="15" spans="1:9" ht="17.25" customHeight="1">
      <c r="A15" s="13" t="s">
        <v>710</v>
      </c>
      <c r="B15" s="3" t="s">
        <v>693</v>
      </c>
      <c r="C15" s="4"/>
      <c r="D15" s="4"/>
      <c r="E15" s="4"/>
      <c r="F15" s="4"/>
      <c r="G15" s="1089"/>
      <c r="H15" s="1091"/>
      <c r="I15" s="4"/>
    </row>
    <row r="16" spans="1:9" ht="17.25" customHeight="1">
      <c r="A16" s="13" t="s">
        <v>712</v>
      </c>
      <c r="B16" s="3" t="s">
        <v>683</v>
      </c>
      <c r="C16" s="4"/>
      <c r="D16" s="4"/>
      <c r="E16" s="4"/>
      <c r="F16" s="4"/>
      <c r="G16" s="1089"/>
      <c r="H16" s="1091"/>
      <c r="I16" s="4"/>
    </row>
    <row r="17" spans="1:9" ht="17.25" customHeight="1">
      <c r="A17" s="13" t="s">
        <v>714</v>
      </c>
      <c r="B17" s="3" t="s">
        <v>685</v>
      </c>
      <c r="C17" s="4"/>
      <c r="D17" s="4"/>
      <c r="E17" s="4"/>
      <c r="F17" s="4"/>
      <c r="G17" s="1089"/>
      <c r="H17" s="1091"/>
      <c r="I17" s="4"/>
    </row>
    <row r="18" spans="1:9" ht="17.25" customHeight="1">
      <c r="A18" s="13" t="s">
        <v>716</v>
      </c>
      <c r="B18" s="3" t="s">
        <v>730</v>
      </c>
      <c r="C18" s="4"/>
      <c r="D18" s="4"/>
      <c r="E18" s="4"/>
      <c r="F18" s="4"/>
      <c r="G18" s="1089"/>
      <c r="H18" s="1091"/>
      <c r="I18" s="4"/>
    </row>
    <row r="19" spans="1:9" ht="17.25" customHeight="1">
      <c r="A19" s="13" t="s">
        <v>718</v>
      </c>
      <c r="B19" s="3" t="s">
        <v>687</v>
      </c>
      <c r="C19" s="4"/>
      <c r="D19" s="4"/>
      <c r="E19" s="4"/>
      <c r="F19" s="4"/>
      <c r="G19" s="1089"/>
      <c r="H19" s="1091"/>
      <c r="I19" s="4"/>
    </row>
    <row r="20" spans="1:9" ht="17.25" customHeight="1">
      <c r="A20" s="13" t="s">
        <v>720</v>
      </c>
      <c r="B20" s="3" t="s">
        <v>689</v>
      </c>
      <c r="C20" s="4"/>
      <c r="D20" s="4"/>
      <c r="E20" s="4"/>
      <c r="F20" s="4"/>
      <c r="G20" s="1089"/>
      <c r="H20" s="1091"/>
      <c r="I20" s="4"/>
    </row>
    <row r="21" spans="1:9" ht="17.25" customHeight="1">
      <c r="A21" s="11">
        <v>1</v>
      </c>
      <c r="B21" s="11">
        <v>2</v>
      </c>
      <c r="C21" s="11">
        <v>3</v>
      </c>
      <c r="D21" s="11">
        <v>4</v>
      </c>
      <c r="E21" s="11">
        <v>5</v>
      </c>
      <c r="F21" s="11">
        <v>6</v>
      </c>
      <c r="G21" s="1216">
        <v>7</v>
      </c>
      <c r="H21" s="1217"/>
      <c r="I21" s="11">
        <v>8</v>
      </c>
    </row>
    <row r="22" spans="1:9" ht="17.25" customHeight="1">
      <c r="A22" s="13" t="s">
        <v>772</v>
      </c>
      <c r="B22" s="3" t="s">
        <v>691</v>
      </c>
      <c r="C22" s="4"/>
      <c r="D22" s="4"/>
      <c r="E22" s="4"/>
      <c r="F22" s="4"/>
      <c r="G22" s="1089"/>
      <c r="H22" s="1091"/>
      <c r="I22" s="4"/>
    </row>
    <row r="23" spans="1:9" ht="17.25" customHeight="1">
      <c r="A23" s="13" t="s">
        <v>773</v>
      </c>
      <c r="B23" s="3" t="s">
        <v>702</v>
      </c>
      <c r="C23" s="4"/>
      <c r="D23" s="4"/>
      <c r="E23" s="4"/>
      <c r="F23" s="4"/>
      <c r="G23" s="1089"/>
      <c r="H23" s="1091"/>
      <c r="I23" s="4"/>
    </row>
    <row r="24" spans="1:9" ht="17.25" customHeight="1">
      <c r="A24" s="13" t="s">
        <v>774</v>
      </c>
      <c r="B24" s="3" t="s">
        <v>703</v>
      </c>
      <c r="C24" s="4"/>
      <c r="D24" s="4"/>
      <c r="E24" s="4"/>
      <c r="F24" s="4"/>
      <c r="G24" s="1089"/>
      <c r="H24" s="1091"/>
      <c r="I24" s="4"/>
    </row>
    <row r="25" spans="1:9" ht="17.25" customHeight="1">
      <c r="A25" s="66">
        <v>40213</v>
      </c>
      <c r="B25" s="3" t="s">
        <v>704</v>
      </c>
      <c r="C25" s="4"/>
      <c r="D25" s="4"/>
      <c r="E25" s="4"/>
      <c r="F25" s="4"/>
      <c r="G25" s="1089"/>
      <c r="H25" s="1091"/>
      <c r="I25" s="4"/>
    </row>
    <row r="26" spans="1:9" ht="17.25" customHeight="1">
      <c r="A26" s="4"/>
      <c r="B26" s="1" t="s">
        <v>708</v>
      </c>
      <c r="C26" s="4"/>
      <c r="D26" s="4"/>
      <c r="E26" s="4"/>
      <c r="F26" s="4"/>
      <c r="G26" s="1089"/>
      <c r="H26" s="1091"/>
      <c r="I26" s="4"/>
    </row>
    <row r="27" spans="1:9" ht="15.75" customHeight="1">
      <c r="A27" s="4"/>
      <c r="B27" s="4"/>
      <c r="C27" s="4"/>
      <c r="D27" s="4"/>
      <c r="E27" s="4"/>
      <c r="F27" s="4"/>
      <c r="G27" s="1089"/>
      <c r="H27" s="1091"/>
      <c r="I27" s="4"/>
    </row>
    <row r="28" spans="1:9" ht="17.25" customHeight="1">
      <c r="A28" s="12">
        <v>2.5</v>
      </c>
      <c r="B28" s="1" t="s">
        <v>709</v>
      </c>
      <c r="C28" s="4"/>
      <c r="D28" s="4"/>
      <c r="E28" s="4"/>
      <c r="F28" s="4"/>
      <c r="G28" s="1089"/>
      <c r="H28" s="1091"/>
      <c r="I28" s="4"/>
    </row>
    <row r="29" spans="1:9" ht="17.25" customHeight="1">
      <c r="A29" s="13" t="s">
        <v>775</v>
      </c>
      <c r="B29" s="3" t="s">
        <v>711</v>
      </c>
      <c r="C29" s="4"/>
      <c r="D29" s="4"/>
      <c r="E29" s="4"/>
      <c r="F29" s="4"/>
      <c r="G29" s="1089"/>
      <c r="H29" s="1091"/>
      <c r="I29" s="4"/>
    </row>
    <row r="30" spans="1:9" ht="17.25" customHeight="1">
      <c r="A30" s="13" t="s">
        <v>776</v>
      </c>
      <c r="B30" s="3" t="s">
        <v>713</v>
      </c>
      <c r="C30" s="4"/>
      <c r="D30" s="4"/>
      <c r="E30" s="4"/>
      <c r="F30" s="4"/>
      <c r="G30" s="1089"/>
      <c r="H30" s="1091"/>
      <c r="I30" s="4"/>
    </row>
    <row r="31" spans="1:9" ht="17.25" customHeight="1">
      <c r="A31" s="13" t="s">
        <v>777</v>
      </c>
      <c r="B31" s="3" t="s">
        <v>715</v>
      </c>
      <c r="C31" s="4"/>
      <c r="D31" s="4"/>
      <c r="E31" s="4"/>
      <c r="F31" s="4"/>
      <c r="G31" s="1089"/>
      <c r="H31" s="1091"/>
      <c r="I31" s="4"/>
    </row>
    <row r="32" spans="1:9" ht="17.25" customHeight="1">
      <c r="A32" s="13" t="s">
        <v>778</v>
      </c>
      <c r="B32" s="3" t="s">
        <v>779</v>
      </c>
      <c r="C32" s="4"/>
      <c r="D32" s="4"/>
      <c r="E32" s="4"/>
      <c r="F32" s="4"/>
      <c r="G32" s="1089"/>
      <c r="H32" s="1091"/>
      <c r="I32" s="4"/>
    </row>
    <row r="33" spans="1:9" ht="17.25" customHeight="1">
      <c r="A33" s="13" t="s">
        <v>780</v>
      </c>
      <c r="B33" s="3" t="s">
        <v>719</v>
      </c>
      <c r="C33" s="4"/>
      <c r="D33" s="4"/>
      <c r="E33" s="4"/>
      <c r="F33" s="4"/>
      <c r="G33" s="1089"/>
      <c r="H33" s="1091"/>
      <c r="I33" s="4"/>
    </row>
    <row r="34" spans="1:9" ht="17.25" customHeight="1">
      <c r="A34" s="13" t="s">
        <v>781</v>
      </c>
      <c r="B34" s="3" t="s">
        <v>721</v>
      </c>
      <c r="C34" s="4"/>
      <c r="D34" s="4"/>
      <c r="E34" s="4"/>
      <c r="F34" s="4"/>
      <c r="G34" s="1089"/>
      <c r="H34" s="1091"/>
      <c r="I34" s="4"/>
    </row>
    <row r="35" spans="1:9" ht="17.25" customHeight="1">
      <c r="A35" s="4"/>
      <c r="B35" s="1" t="s">
        <v>722</v>
      </c>
      <c r="C35" s="4"/>
      <c r="D35" s="4"/>
      <c r="E35" s="4"/>
      <c r="F35" s="4"/>
      <c r="G35" s="1089"/>
      <c r="H35" s="1091"/>
      <c r="I35" s="4"/>
    </row>
    <row r="36" spans="1:9" ht="15.75" customHeight="1">
      <c r="A36" s="4"/>
      <c r="B36" s="4"/>
      <c r="C36" s="1089"/>
      <c r="D36" s="1091"/>
      <c r="E36" s="4"/>
      <c r="F36" s="4"/>
      <c r="G36" s="1089"/>
      <c r="H36" s="1091"/>
      <c r="I36" s="4"/>
    </row>
    <row r="37" spans="1:9" ht="34.5" customHeight="1">
      <c r="A37" s="12">
        <v>2.6</v>
      </c>
      <c r="B37" s="5" t="s">
        <v>723</v>
      </c>
      <c r="C37" s="6"/>
      <c r="D37" s="6"/>
      <c r="E37" s="6"/>
      <c r="F37" s="6"/>
      <c r="G37" s="1209"/>
      <c r="H37" s="1097"/>
      <c r="I37" s="6"/>
    </row>
    <row r="38" spans="1:9" ht="34.5" customHeight="1">
      <c r="A38" s="6"/>
      <c r="B38" s="5" t="s">
        <v>782</v>
      </c>
      <c r="C38" s="6"/>
      <c r="D38" s="6"/>
      <c r="E38" s="6"/>
      <c r="F38" s="6"/>
      <c r="G38" s="1209"/>
      <c r="H38" s="1097"/>
      <c r="I38" s="6"/>
    </row>
    <row r="39" spans="1:9" ht="17.25" customHeight="1">
      <c r="A39" s="12">
        <v>2.7</v>
      </c>
      <c r="B39" s="1" t="s">
        <v>726</v>
      </c>
      <c r="C39" s="4"/>
      <c r="D39" s="4"/>
      <c r="E39" s="4"/>
      <c r="F39" s="4"/>
      <c r="G39" s="1089"/>
      <c r="H39" s="1091"/>
      <c r="I39" s="4"/>
    </row>
    <row r="40" spans="1:9" ht="15.75" customHeight="1">
      <c r="A40" s="4"/>
      <c r="B40" s="4"/>
      <c r="C40" s="4"/>
      <c r="D40" s="4"/>
      <c r="E40" s="4"/>
      <c r="F40" s="4"/>
      <c r="G40" s="1089"/>
      <c r="H40" s="1091"/>
      <c r="I40" s="4"/>
    </row>
    <row r="41" spans="1:9" ht="17.25" customHeight="1">
      <c r="A41" s="11">
        <v>3</v>
      </c>
      <c r="B41" s="1" t="s">
        <v>727</v>
      </c>
      <c r="C41" s="4"/>
      <c r="D41" s="4"/>
      <c r="E41" s="4"/>
      <c r="F41" s="4"/>
      <c r="G41" s="1089"/>
      <c r="H41" s="1091"/>
      <c r="I41" s="4"/>
    </row>
    <row r="42" spans="1:9" ht="15.75" customHeight="1">
      <c r="A42" s="4"/>
      <c r="B42" s="4"/>
      <c r="C42" s="4"/>
      <c r="D42" s="4"/>
      <c r="E42" s="4"/>
      <c r="F42" s="4"/>
      <c r="G42" s="1089"/>
      <c r="H42" s="1091"/>
      <c r="I42" s="4"/>
    </row>
    <row r="43" spans="1:9" ht="17.25" customHeight="1">
      <c r="A43" s="11">
        <v>4</v>
      </c>
      <c r="B43" s="1" t="s">
        <v>728</v>
      </c>
      <c r="C43" s="4"/>
      <c r="D43" s="4"/>
      <c r="E43" s="4"/>
      <c r="F43" s="4"/>
      <c r="G43" s="1089"/>
      <c r="H43" s="1091"/>
      <c r="I43" s="4"/>
    </row>
    <row r="44" spans="1:9" ht="17.25" customHeight="1">
      <c r="A44" s="48">
        <v>4.1</v>
      </c>
      <c r="B44" s="3" t="s">
        <v>729</v>
      </c>
      <c r="C44" s="4"/>
      <c r="D44" s="4"/>
      <c r="E44" s="4"/>
      <c r="F44" s="4"/>
      <c r="G44" s="1089"/>
      <c r="H44" s="1091"/>
      <c r="I44" s="4"/>
    </row>
    <row r="45" spans="1:9" ht="17.25" customHeight="1">
      <c r="A45" s="11">
        <v>1</v>
      </c>
      <c r="B45" s="11">
        <v>2</v>
      </c>
      <c r="C45" s="11">
        <v>3</v>
      </c>
      <c r="D45" s="11">
        <v>4</v>
      </c>
      <c r="E45" s="11">
        <v>5</v>
      </c>
      <c r="F45" s="11">
        <v>6</v>
      </c>
      <c r="G45" s="1216">
        <v>7</v>
      </c>
      <c r="H45" s="1217"/>
      <c r="I45" s="11">
        <v>8</v>
      </c>
    </row>
    <row r="46" spans="1:9" ht="17.25" customHeight="1">
      <c r="A46" s="48">
        <v>4.2</v>
      </c>
      <c r="B46" s="3" t="s">
        <v>783</v>
      </c>
      <c r="C46" s="4"/>
      <c r="D46" s="4"/>
      <c r="E46" s="4"/>
      <c r="F46" s="4"/>
      <c r="G46" s="1089"/>
      <c r="H46" s="1091"/>
      <c r="I46" s="4"/>
    </row>
    <row r="47" spans="1:9" ht="17.25" customHeight="1">
      <c r="A47" s="48">
        <v>4.3</v>
      </c>
      <c r="B47" s="3" t="s">
        <v>685</v>
      </c>
      <c r="C47" s="4"/>
      <c r="D47" s="4"/>
      <c r="E47" s="4"/>
      <c r="F47" s="4"/>
      <c r="G47" s="1089"/>
      <c r="H47" s="1091"/>
      <c r="I47" s="4"/>
    </row>
    <row r="48" spans="1:9" ht="17.25" customHeight="1">
      <c r="A48" s="48">
        <v>4.4</v>
      </c>
      <c r="B48" s="3" t="s">
        <v>730</v>
      </c>
      <c r="C48" s="4"/>
      <c r="D48" s="4"/>
      <c r="E48" s="4"/>
      <c r="F48" s="4"/>
      <c r="G48" s="1089"/>
      <c r="H48" s="1091"/>
      <c r="I48" s="4"/>
    </row>
    <row r="49" spans="1:9" ht="17.25" customHeight="1">
      <c r="A49" s="48">
        <v>4.5</v>
      </c>
      <c r="B49" s="3" t="s">
        <v>687</v>
      </c>
      <c r="C49" s="4"/>
      <c r="D49" s="4"/>
      <c r="E49" s="4"/>
      <c r="F49" s="4"/>
      <c r="G49" s="1089"/>
      <c r="H49" s="1091"/>
      <c r="I49" s="4"/>
    </row>
    <row r="50" spans="1:9" ht="17.25" customHeight="1">
      <c r="A50" s="48">
        <v>4.6</v>
      </c>
      <c r="B50" s="3" t="s">
        <v>689</v>
      </c>
      <c r="C50" s="4"/>
      <c r="D50" s="4"/>
      <c r="E50" s="4"/>
      <c r="F50" s="4"/>
      <c r="G50" s="1089"/>
      <c r="H50" s="1091"/>
      <c r="I50" s="4"/>
    </row>
    <row r="51" spans="1:9" ht="17.25" customHeight="1">
      <c r="A51" s="48">
        <v>4.7</v>
      </c>
      <c r="B51" s="3" t="s">
        <v>732</v>
      </c>
      <c r="C51" s="4"/>
      <c r="D51" s="4"/>
      <c r="E51" s="4"/>
      <c r="F51" s="4"/>
      <c r="G51" s="1089"/>
      <c r="H51" s="1091"/>
      <c r="I51" s="4"/>
    </row>
    <row r="52" spans="1:9" ht="17.25" customHeight="1">
      <c r="A52" s="48">
        <v>4.8</v>
      </c>
      <c r="B52" s="3" t="s">
        <v>735</v>
      </c>
      <c r="C52" s="4"/>
      <c r="D52" s="4"/>
      <c r="E52" s="4"/>
      <c r="F52" s="4"/>
      <c r="G52" s="1089"/>
      <c r="H52" s="1091"/>
      <c r="I52" s="4"/>
    </row>
    <row r="53" spans="1:9" ht="17.25" customHeight="1">
      <c r="A53" s="48">
        <v>4.9</v>
      </c>
      <c r="B53" s="3" t="s">
        <v>784</v>
      </c>
      <c r="C53" s="4"/>
      <c r="D53" s="4"/>
      <c r="E53" s="4"/>
      <c r="F53" s="4"/>
      <c r="G53" s="1089"/>
      <c r="H53" s="1091"/>
      <c r="I53" s="4"/>
    </row>
    <row r="54" spans="1:9" ht="17.25" customHeight="1">
      <c r="A54" s="67">
        <v>4.1</v>
      </c>
      <c r="B54" s="3" t="s">
        <v>737</v>
      </c>
      <c r="C54" s="4"/>
      <c r="D54" s="4"/>
      <c r="E54" s="4"/>
      <c r="F54" s="4"/>
      <c r="G54" s="1089"/>
      <c r="H54" s="1091"/>
      <c r="I54" s="4"/>
    </row>
    <row r="55" spans="1:9" ht="17.25" customHeight="1">
      <c r="A55" s="67">
        <v>4.11</v>
      </c>
      <c r="B55" s="3" t="s">
        <v>703</v>
      </c>
      <c r="C55" s="4"/>
      <c r="D55" s="4"/>
      <c r="E55" s="4"/>
      <c r="F55" s="4"/>
      <c r="G55" s="1089"/>
      <c r="H55" s="1091"/>
      <c r="I55" s="4"/>
    </row>
    <row r="56" spans="1:9" ht="17.25" customHeight="1">
      <c r="A56" s="4"/>
      <c r="B56" s="1" t="s">
        <v>738</v>
      </c>
      <c r="C56" s="4"/>
      <c r="D56" s="4"/>
      <c r="E56" s="4"/>
      <c r="F56" s="4"/>
      <c r="G56" s="1089"/>
      <c r="H56" s="1091"/>
      <c r="I56" s="4"/>
    </row>
    <row r="57" spans="1:9" ht="15.75" customHeight="1">
      <c r="A57" s="4"/>
      <c r="B57" s="4"/>
      <c r="C57" s="4"/>
      <c r="D57" s="4"/>
      <c r="E57" s="4"/>
      <c r="F57" s="4"/>
      <c r="G57" s="1089"/>
      <c r="H57" s="1091"/>
      <c r="I57" s="4"/>
    </row>
    <row r="58" spans="1:9" ht="34.5" customHeight="1">
      <c r="A58" s="11">
        <v>5</v>
      </c>
      <c r="B58" s="5" t="s">
        <v>785</v>
      </c>
      <c r="C58" s="6"/>
      <c r="D58" s="6"/>
      <c r="E58" s="6"/>
      <c r="F58" s="6"/>
      <c r="G58" s="1209"/>
      <c r="H58" s="1097"/>
      <c r="I58" s="6"/>
    </row>
    <row r="59" spans="1:9" ht="17.25" customHeight="1">
      <c r="A59" s="48">
        <v>5.1</v>
      </c>
      <c r="B59" s="3" t="s">
        <v>786</v>
      </c>
      <c r="C59" s="4"/>
      <c r="D59" s="4"/>
      <c r="E59" s="4"/>
      <c r="F59" s="4"/>
      <c r="G59" s="1089"/>
      <c r="H59" s="1091"/>
      <c r="I59" s="4"/>
    </row>
    <row r="60" spans="1:9" ht="17.25" customHeight="1">
      <c r="A60" s="48">
        <v>5.2</v>
      </c>
      <c r="B60" s="3" t="s">
        <v>741</v>
      </c>
      <c r="C60" s="4"/>
      <c r="D60" s="4"/>
      <c r="E60" s="4"/>
      <c r="F60" s="4"/>
      <c r="G60" s="1089"/>
      <c r="H60" s="1091"/>
      <c r="I60" s="4"/>
    </row>
    <row r="61" spans="1:9" ht="17.25" customHeight="1">
      <c r="A61" s="48">
        <v>5.3</v>
      </c>
      <c r="B61" s="3" t="s">
        <v>742</v>
      </c>
      <c r="C61" s="4"/>
      <c r="D61" s="4"/>
      <c r="E61" s="4"/>
      <c r="F61" s="4"/>
      <c r="G61" s="1089"/>
      <c r="H61" s="1091"/>
      <c r="I61" s="4"/>
    </row>
    <row r="62" spans="1:9" ht="17.25" customHeight="1">
      <c r="A62" s="48">
        <v>5.4</v>
      </c>
      <c r="B62" s="3" t="s">
        <v>743</v>
      </c>
      <c r="C62" s="4"/>
      <c r="D62" s="4"/>
      <c r="E62" s="4"/>
      <c r="F62" s="4"/>
      <c r="G62" s="1089"/>
      <c r="H62" s="1091"/>
      <c r="I62" s="4"/>
    </row>
    <row r="63" spans="1:9" ht="17.25" customHeight="1">
      <c r="A63" s="48">
        <v>5.5</v>
      </c>
      <c r="B63" s="3" t="s">
        <v>744</v>
      </c>
      <c r="C63" s="4"/>
      <c r="D63" s="4"/>
      <c r="E63" s="4"/>
      <c r="F63" s="4"/>
      <c r="G63" s="1089"/>
      <c r="H63" s="1091"/>
      <c r="I63" s="4"/>
    </row>
    <row r="64" spans="1:9" ht="17.25" customHeight="1">
      <c r="A64" s="48">
        <v>5.6</v>
      </c>
      <c r="B64" s="3" t="s">
        <v>745</v>
      </c>
      <c r="C64" s="4"/>
      <c r="D64" s="4"/>
      <c r="E64" s="4"/>
      <c r="F64" s="4"/>
      <c r="G64" s="1089"/>
      <c r="H64" s="1091"/>
      <c r="I64" s="4"/>
    </row>
    <row r="65" spans="1:9" ht="34.5" customHeight="1">
      <c r="A65" s="6"/>
      <c r="B65" s="5" t="s">
        <v>746</v>
      </c>
      <c r="C65" s="6"/>
      <c r="D65" s="6"/>
      <c r="E65" s="6"/>
      <c r="F65" s="6"/>
      <c r="G65" s="1209"/>
      <c r="H65" s="1097"/>
      <c r="I65" s="6"/>
    </row>
    <row r="66" spans="1:9" ht="15" customHeight="1">
      <c r="A66" s="4"/>
      <c r="B66" s="4"/>
      <c r="C66" s="4"/>
      <c r="D66" s="4"/>
      <c r="E66" s="4"/>
      <c r="F66" s="4"/>
      <c r="G66" s="1089"/>
      <c r="H66" s="1091"/>
      <c r="I66" s="4"/>
    </row>
    <row r="67" spans="1:9" ht="17.25" customHeight="1">
      <c r="A67" s="11">
        <v>6</v>
      </c>
      <c r="B67" s="1" t="s">
        <v>747</v>
      </c>
      <c r="C67" s="4"/>
      <c r="D67" s="4"/>
      <c r="E67" s="4"/>
      <c r="F67" s="4"/>
      <c r="G67" s="1089"/>
      <c r="H67" s="1091"/>
      <c r="I67" s="4"/>
    </row>
    <row r="68" spans="1:9" ht="17.25" customHeight="1">
      <c r="A68" s="48">
        <v>6.1</v>
      </c>
      <c r="B68" s="3" t="s">
        <v>748</v>
      </c>
      <c r="C68" s="4"/>
      <c r="D68" s="4"/>
      <c r="E68" s="4"/>
      <c r="F68" s="4"/>
      <c r="G68" s="1089"/>
      <c r="H68" s="1091"/>
      <c r="I68" s="4"/>
    </row>
  </sheetData>
  <sheetProtection/>
  <mergeCells count="70">
    <mergeCell ref="G7:H7"/>
    <mergeCell ref="G8:H8"/>
    <mergeCell ref="G9:H9"/>
    <mergeCell ref="G10:H10"/>
    <mergeCell ref="G21:H21"/>
    <mergeCell ref="G22:H22"/>
    <mergeCell ref="G11:H11"/>
    <mergeCell ref="G20:H20"/>
    <mergeCell ref="A1:G1"/>
    <mergeCell ref="H1:J1"/>
    <mergeCell ref="A2:J2"/>
    <mergeCell ref="G3:H3"/>
    <mergeCell ref="G4:H4"/>
    <mergeCell ref="G5:H5"/>
    <mergeCell ref="G6:H6"/>
    <mergeCell ref="G23:H23"/>
    <mergeCell ref="G12:H12"/>
    <mergeCell ref="G13:H13"/>
    <mergeCell ref="G14:H14"/>
    <mergeCell ref="G15:H15"/>
    <mergeCell ref="G16:H16"/>
    <mergeCell ref="G17:H17"/>
    <mergeCell ref="G18:H18"/>
    <mergeCell ref="G19:H19"/>
    <mergeCell ref="G29:H29"/>
    <mergeCell ref="G30:H30"/>
    <mergeCell ref="G31:H31"/>
    <mergeCell ref="G32:H32"/>
    <mergeCell ref="G33:H33"/>
    <mergeCell ref="G34:H34"/>
    <mergeCell ref="G42:H42"/>
    <mergeCell ref="G43:H43"/>
    <mergeCell ref="G44:H44"/>
    <mergeCell ref="G45:H45"/>
    <mergeCell ref="G35:H35"/>
    <mergeCell ref="G24:H24"/>
    <mergeCell ref="G25:H25"/>
    <mergeCell ref="G26:H26"/>
    <mergeCell ref="G27:H27"/>
    <mergeCell ref="G28:H28"/>
    <mergeCell ref="G56:H56"/>
    <mergeCell ref="G57:H57"/>
    <mergeCell ref="G46:H46"/>
    <mergeCell ref="C36:D36"/>
    <mergeCell ref="G36:H36"/>
    <mergeCell ref="G37:H37"/>
    <mergeCell ref="G38:H38"/>
    <mergeCell ref="G39:H39"/>
    <mergeCell ref="G40:H40"/>
    <mergeCell ref="G41:H41"/>
    <mergeCell ref="G58:H58"/>
    <mergeCell ref="G47:H47"/>
    <mergeCell ref="G48:H48"/>
    <mergeCell ref="G49:H49"/>
    <mergeCell ref="G50:H50"/>
    <mergeCell ref="G51:H51"/>
    <mergeCell ref="G52:H52"/>
    <mergeCell ref="G53:H53"/>
    <mergeCell ref="G54:H54"/>
    <mergeCell ref="G55:H55"/>
    <mergeCell ref="G65:H65"/>
    <mergeCell ref="G66:H66"/>
    <mergeCell ref="G67:H67"/>
    <mergeCell ref="G68:H68"/>
    <mergeCell ref="G59:H59"/>
    <mergeCell ref="G60:H60"/>
    <mergeCell ref="G61:H61"/>
    <mergeCell ref="G62:H62"/>
    <mergeCell ref="G63:H63"/>
    <mergeCell ref="G64:H64"/>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D1"/>
    </sheetView>
  </sheetViews>
  <sheetFormatPr defaultColWidth="9.33203125" defaultRowHeight="12.75"/>
  <cols>
    <col min="1" max="1" width="8" style="0" customWidth="1"/>
    <col min="2" max="2" width="54.66015625" style="0" customWidth="1"/>
    <col min="3" max="3" width="22.83203125" style="0" customWidth="1"/>
    <col min="4" max="4" width="16.5" style="0" customWidth="1"/>
    <col min="5" max="5" width="13.16015625" style="0" customWidth="1"/>
    <col min="6" max="7" width="16.5" style="0" customWidth="1"/>
    <col min="8" max="8" width="21.33203125" style="0" customWidth="1"/>
    <col min="9" max="9" width="12.5" style="0" customWidth="1"/>
  </cols>
  <sheetData>
    <row r="1" spans="1:8" ht="87" customHeight="1">
      <c r="A1" s="49" t="s">
        <v>273</v>
      </c>
      <c r="B1" s="39" t="s">
        <v>666</v>
      </c>
      <c r="C1" s="2" t="s">
        <v>764</v>
      </c>
      <c r="D1" s="2" t="s">
        <v>765</v>
      </c>
      <c r="E1" s="2" t="s">
        <v>766</v>
      </c>
      <c r="F1" s="8" t="s">
        <v>670</v>
      </c>
      <c r="G1" s="2" t="s">
        <v>767</v>
      </c>
      <c r="H1" s="2" t="s">
        <v>768</v>
      </c>
    </row>
    <row r="2" spans="1:8" ht="17.25" customHeight="1">
      <c r="A2" s="11">
        <v>1</v>
      </c>
      <c r="B2" s="11">
        <v>2</v>
      </c>
      <c r="C2" s="11">
        <v>3</v>
      </c>
      <c r="D2" s="11">
        <v>4</v>
      </c>
      <c r="E2" s="11">
        <v>5</v>
      </c>
      <c r="F2" s="11">
        <v>6</v>
      </c>
      <c r="G2" s="11">
        <v>7</v>
      </c>
      <c r="H2" s="11">
        <v>8</v>
      </c>
    </row>
    <row r="3" spans="1:8" ht="17.25" customHeight="1">
      <c r="A3" s="48">
        <v>6.2</v>
      </c>
      <c r="B3" s="3" t="s">
        <v>749</v>
      </c>
      <c r="C3" s="4"/>
      <c r="D3" s="4"/>
      <c r="E3" s="4"/>
      <c r="F3" s="4"/>
      <c r="G3" s="4"/>
      <c r="H3" s="4"/>
    </row>
    <row r="4" spans="1:8" ht="17.25" customHeight="1">
      <c r="A4" s="48">
        <v>6.3</v>
      </c>
      <c r="B4" s="3" t="s">
        <v>750</v>
      </c>
      <c r="C4" s="4"/>
      <c r="D4" s="4"/>
      <c r="E4" s="4"/>
      <c r="F4" s="4"/>
      <c r="G4" s="4"/>
      <c r="H4" s="4"/>
    </row>
    <row r="5" spans="1:8" ht="17.25" customHeight="1">
      <c r="A5" s="48">
        <v>6.4</v>
      </c>
      <c r="B5" s="3" t="s">
        <v>751</v>
      </c>
      <c r="C5" s="4"/>
      <c r="D5" s="4"/>
      <c r="E5" s="4"/>
      <c r="F5" s="4"/>
      <c r="G5" s="4"/>
      <c r="H5" s="4"/>
    </row>
    <row r="6" spans="1:8" ht="17.25" customHeight="1">
      <c r="A6" s="4"/>
      <c r="B6" s="1" t="s">
        <v>752</v>
      </c>
      <c r="C6" s="4"/>
      <c r="D6" s="4"/>
      <c r="E6" s="4"/>
      <c r="F6" s="4"/>
      <c r="G6" s="4"/>
      <c r="H6" s="4"/>
    </row>
    <row r="7" spans="1:8" ht="15.75" customHeight="1">
      <c r="A7" s="4"/>
      <c r="B7" s="4"/>
      <c r="C7" s="4"/>
      <c r="D7" s="4"/>
      <c r="E7" s="4"/>
      <c r="F7" s="4"/>
      <c r="G7" s="4"/>
      <c r="H7" s="4"/>
    </row>
    <row r="8" spans="1:8" ht="17.25" customHeight="1">
      <c r="A8" s="11">
        <v>7</v>
      </c>
      <c r="B8" s="1" t="s">
        <v>787</v>
      </c>
      <c r="C8" s="4"/>
      <c r="D8" s="4"/>
      <c r="E8" s="4"/>
      <c r="F8" s="4"/>
      <c r="G8" s="4"/>
      <c r="H8" s="4"/>
    </row>
    <row r="9" spans="1:8" ht="15" customHeight="1">
      <c r="A9" s="4"/>
      <c r="B9" s="4"/>
      <c r="C9" s="4"/>
      <c r="D9" s="4"/>
      <c r="E9" s="4"/>
      <c r="F9" s="4"/>
      <c r="G9" s="4"/>
      <c r="H9" s="4"/>
    </row>
    <row r="10" spans="1:8" ht="17.25" customHeight="1">
      <c r="A10" s="11">
        <v>8</v>
      </c>
      <c r="B10" s="1" t="s">
        <v>754</v>
      </c>
      <c r="C10" s="4"/>
      <c r="D10" s="4"/>
      <c r="E10" s="4"/>
      <c r="F10" s="4"/>
      <c r="G10" s="4"/>
      <c r="H10" s="4"/>
    </row>
    <row r="11" spans="1:8" ht="22.5" customHeight="1">
      <c r="A11" s="48">
        <v>8.1</v>
      </c>
      <c r="B11" s="3" t="s">
        <v>755</v>
      </c>
      <c r="C11" s="4"/>
      <c r="D11" s="4"/>
      <c r="E11" s="4"/>
      <c r="F11" s="4"/>
      <c r="G11" s="4"/>
      <c r="H11" s="4"/>
    </row>
    <row r="12" spans="1:8" ht="17.25" customHeight="1">
      <c r="A12" s="48">
        <v>8.2</v>
      </c>
      <c r="B12" s="3" t="s">
        <v>756</v>
      </c>
      <c r="C12" s="4"/>
      <c r="D12" s="4"/>
      <c r="E12" s="4"/>
      <c r="F12" s="4"/>
      <c r="G12" s="4"/>
      <c r="H12" s="4"/>
    </row>
    <row r="13" spans="1:8" ht="17.25" customHeight="1">
      <c r="A13" s="48">
        <v>8.3</v>
      </c>
      <c r="B13" s="3" t="s">
        <v>788</v>
      </c>
      <c r="C13" s="4"/>
      <c r="D13" s="4"/>
      <c r="E13" s="4"/>
      <c r="F13" s="4"/>
      <c r="G13" s="4"/>
      <c r="H13" s="4"/>
    </row>
    <row r="14" spans="1:8" ht="17.25" customHeight="1">
      <c r="A14" s="48">
        <v>8.4</v>
      </c>
      <c r="B14" s="3" t="s">
        <v>758</v>
      </c>
      <c r="C14" s="4"/>
      <c r="D14" s="4"/>
      <c r="E14" s="4"/>
      <c r="F14" s="4"/>
      <c r="G14" s="4"/>
      <c r="H14" s="4"/>
    </row>
    <row r="15" spans="1:8" ht="17.25" customHeight="1">
      <c r="A15" s="4"/>
      <c r="B15" s="1" t="s">
        <v>789</v>
      </c>
      <c r="C15" s="4"/>
      <c r="D15" s="4"/>
      <c r="E15" s="4"/>
      <c r="F15" s="4"/>
      <c r="G15" s="4"/>
      <c r="H15" s="4"/>
    </row>
    <row r="16" spans="1:8" ht="15" customHeight="1">
      <c r="A16" s="4"/>
      <c r="B16" s="4"/>
      <c r="C16" s="4"/>
      <c r="D16" s="4"/>
      <c r="E16" s="4"/>
      <c r="F16" s="4"/>
      <c r="G16" s="4"/>
      <c r="H16" s="4"/>
    </row>
    <row r="17" spans="1:8" ht="34.5" customHeight="1">
      <c r="A17" s="11">
        <v>9</v>
      </c>
      <c r="B17" s="5" t="s">
        <v>790</v>
      </c>
      <c r="C17" s="6"/>
      <c r="D17" s="6"/>
      <c r="E17" s="6"/>
      <c r="F17" s="6"/>
      <c r="G17" s="6"/>
      <c r="H17" s="6"/>
    </row>
    <row r="18" spans="1:9" ht="19.5" customHeight="1">
      <c r="A18" s="1503" t="s">
        <v>791</v>
      </c>
      <c r="B18" s="1503"/>
      <c r="C18" s="1503"/>
      <c r="D18" s="1503"/>
      <c r="E18" s="1503"/>
      <c r="F18" s="1503"/>
      <c r="G18" s="1503"/>
      <c r="H18" s="1503"/>
      <c r="I18" s="1503"/>
    </row>
    <row r="19" spans="1:9" ht="48" customHeight="1">
      <c r="A19" s="1436" t="s">
        <v>792</v>
      </c>
      <c r="B19" s="1436"/>
      <c r="C19" s="1436"/>
      <c r="D19" s="1436"/>
      <c r="E19" s="1436"/>
      <c r="F19" s="1436"/>
      <c r="G19" s="1436"/>
      <c r="H19" s="1436"/>
      <c r="I19" s="1436"/>
    </row>
    <row r="20" spans="1:9" ht="32.25" customHeight="1">
      <c r="A20" s="1504" t="s">
        <v>793</v>
      </c>
      <c r="B20" s="1504"/>
      <c r="C20" s="1504"/>
      <c r="D20" s="1504"/>
      <c r="E20" s="1504"/>
      <c r="F20" s="1504"/>
      <c r="G20" s="1504"/>
      <c r="H20" s="1504"/>
      <c r="I20" s="1504"/>
    </row>
    <row r="21" spans="1:9" ht="48.75" customHeight="1">
      <c r="A21" s="1504" t="s">
        <v>794</v>
      </c>
      <c r="B21" s="1504"/>
      <c r="C21" s="1504"/>
      <c r="D21" s="1504"/>
      <c r="E21" s="1504"/>
      <c r="F21" s="1504"/>
      <c r="G21" s="1504"/>
      <c r="H21" s="1504"/>
      <c r="I21" s="1504"/>
    </row>
    <row r="22" spans="1:9" ht="48.75" customHeight="1">
      <c r="A22" s="1505" t="s">
        <v>795</v>
      </c>
      <c r="B22" s="1505"/>
      <c r="C22" s="1505"/>
      <c r="D22" s="1505"/>
      <c r="E22" s="1505"/>
      <c r="F22" s="1505"/>
      <c r="G22" s="1505"/>
      <c r="H22" s="1505"/>
      <c r="I22" s="1505"/>
    </row>
    <row r="23" spans="1:9" ht="17.25" customHeight="1">
      <c r="A23" s="1437" t="s">
        <v>137</v>
      </c>
      <c r="B23" s="1437"/>
      <c r="C23" s="1437"/>
      <c r="D23" s="1437"/>
      <c r="E23" s="1437"/>
      <c r="F23" s="1437"/>
      <c r="G23" s="1437"/>
      <c r="H23" s="1437"/>
      <c r="I23" s="1437"/>
    </row>
  </sheetData>
  <sheetProtection/>
  <mergeCells count="6">
    <mergeCell ref="A23:I23"/>
    <mergeCell ref="A18:I18"/>
    <mergeCell ref="A19:I19"/>
    <mergeCell ref="A20:I20"/>
    <mergeCell ref="A21:I21"/>
    <mergeCell ref="A22:I22"/>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F1"/>
    </sheetView>
  </sheetViews>
  <sheetFormatPr defaultColWidth="9.33203125" defaultRowHeight="12.75"/>
  <cols>
    <col min="1" max="1" width="7.83203125" style="0" customWidth="1"/>
    <col min="2" max="2" width="80" style="0" customWidth="1"/>
    <col min="3" max="3" width="15.83203125" style="0" customWidth="1"/>
    <col min="4" max="4" width="16.16015625" style="0" customWidth="1"/>
    <col min="5" max="5" width="17.33203125" style="0" customWidth="1"/>
    <col min="6" max="6" width="8.5" style="0" customWidth="1"/>
    <col min="7" max="7" width="26.16015625" style="0" customWidth="1"/>
    <col min="8" max="8" width="10.5" style="0" customWidth="1"/>
  </cols>
  <sheetData>
    <row r="1" spans="1:8" ht="88.5" customHeight="1">
      <c r="A1" s="1505" t="s">
        <v>796</v>
      </c>
      <c r="B1" s="1505"/>
      <c r="C1" s="1505"/>
      <c r="D1" s="1505"/>
      <c r="E1" s="1505"/>
      <c r="F1" s="1505"/>
      <c r="G1" s="1507" t="s">
        <v>797</v>
      </c>
      <c r="H1" s="1507"/>
    </row>
    <row r="2" spans="1:8" ht="17.25" customHeight="1">
      <c r="A2" s="1508" t="s">
        <v>463</v>
      </c>
      <c r="B2" s="1508"/>
      <c r="C2" s="1508"/>
      <c r="D2" s="1508"/>
      <c r="E2" s="1508"/>
      <c r="F2" s="1508"/>
      <c r="G2" s="1508"/>
      <c r="H2" s="1508"/>
    </row>
    <row r="3" spans="1:7" ht="34.5" customHeight="1">
      <c r="A3" s="27" t="s">
        <v>273</v>
      </c>
      <c r="B3" s="32" t="s">
        <v>798</v>
      </c>
      <c r="C3" s="1" t="s">
        <v>799</v>
      </c>
      <c r="D3" s="8" t="s">
        <v>800</v>
      </c>
      <c r="E3" s="8" t="s">
        <v>801</v>
      </c>
      <c r="F3" s="2" t="s">
        <v>802</v>
      </c>
      <c r="G3" s="27" t="s">
        <v>803</v>
      </c>
    </row>
    <row r="4" spans="1:7" ht="34.5" customHeight="1">
      <c r="A4" s="16">
        <v>1</v>
      </c>
      <c r="B4" s="5" t="s">
        <v>804</v>
      </c>
      <c r="C4" s="6"/>
      <c r="D4" s="6"/>
      <c r="E4" s="6"/>
      <c r="F4" s="6"/>
      <c r="G4" s="6"/>
    </row>
    <row r="5" spans="1:7" ht="34.5" customHeight="1">
      <c r="A5" s="16">
        <v>2</v>
      </c>
      <c r="B5" s="5" t="s">
        <v>805</v>
      </c>
      <c r="C5" s="6"/>
      <c r="D5" s="6"/>
      <c r="E5" s="6"/>
      <c r="F5" s="6"/>
      <c r="G5" s="6"/>
    </row>
    <row r="6" spans="1:7" ht="17.25" customHeight="1">
      <c r="A6" s="16">
        <v>3</v>
      </c>
      <c r="B6" s="3" t="s">
        <v>806</v>
      </c>
      <c r="C6" s="4"/>
      <c r="D6" s="4"/>
      <c r="E6" s="4"/>
      <c r="F6" s="4"/>
      <c r="G6" s="4"/>
    </row>
    <row r="7" spans="1:7" ht="17.25" customHeight="1">
      <c r="A7" s="16">
        <v>4</v>
      </c>
      <c r="B7" s="3" t="s">
        <v>807</v>
      </c>
      <c r="C7" s="4"/>
      <c r="D7" s="4"/>
      <c r="E7" s="4"/>
      <c r="F7" s="4"/>
      <c r="G7" s="4"/>
    </row>
    <row r="8" spans="1:7" ht="17.25" customHeight="1">
      <c r="A8" s="16">
        <v>5</v>
      </c>
      <c r="B8" s="3" t="s">
        <v>808</v>
      </c>
      <c r="C8" s="4"/>
      <c r="D8" s="4"/>
      <c r="E8" s="4"/>
      <c r="F8" s="4"/>
      <c r="G8" s="4"/>
    </row>
    <row r="9" spans="1:7" ht="34.5" customHeight="1">
      <c r="A9" s="16">
        <v>6</v>
      </c>
      <c r="B9" s="5" t="s">
        <v>809</v>
      </c>
      <c r="C9" s="6"/>
      <c r="D9" s="6"/>
      <c r="E9" s="6"/>
      <c r="F9" s="6"/>
      <c r="G9" s="6"/>
    </row>
    <row r="10" spans="1:7" ht="17.25" customHeight="1">
      <c r="A10" s="16">
        <v>7</v>
      </c>
      <c r="B10" s="5" t="s">
        <v>810</v>
      </c>
      <c r="C10" s="4"/>
      <c r="D10" s="4"/>
      <c r="E10" s="4"/>
      <c r="F10" s="4"/>
      <c r="G10" s="4"/>
    </row>
    <row r="11" spans="1:7" ht="17.25" customHeight="1">
      <c r="A11" s="16">
        <v>8</v>
      </c>
      <c r="B11" s="3" t="s">
        <v>811</v>
      </c>
      <c r="C11" s="4"/>
      <c r="D11" s="4"/>
      <c r="E11" s="4"/>
      <c r="F11" s="4"/>
      <c r="G11" s="4"/>
    </row>
    <row r="12" spans="1:7" ht="34.5" customHeight="1">
      <c r="A12" s="16">
        <v>9</v>
      </c>
      <c r="B12" s="5" t="s">
        <v>812</v>
      </c>
      <c r="C12" s="6"/>
      <c r="D12" s="6"/>
      <c r="E12" s="6"/>
      <c r="F12" s="6"/>
      <c r="G12" s="6"/>
    </row>
    <row r="13" spans="1:7" ht="17.25" customHeight="1">
      <c r="A13" s="68">
        <v>10</v>
      </c>
      <c r="B13" s="69" t="s">
        <v>813</v>
      </c>
      <c r="C13" s="4"/>
      <c r="D13" s="4"/>
      <c r="E13" s="4"/>
      <c r="F13" s="4"/>
      <c r="G13" s="4"/>
    </row>
    <row r="14" spans="1:7" ht="17.25" customHeight="1">
      <c r="A14" s="68">
        <v>11</v>
      </c>
      <c r="B14" s="3" t="s">
        <v>814</v>
      </c>
      <c r="C14" s="4"/>
      <c r="D14" s="4"/>
      <c r="E14" s="4"/>
      <c r="F14" s="4"/>
      <c r="G14" s="4"/>
    </row>
    <row r="15" spans="1:7" ht="17.25" customHeight="1">
      <c r="A15" s="68">
        <v>12</v>
      </c>
      <c r="B15" s="3" t="s">
        <v>815</v>
      </c>
      <c r="C15" s="4"/>
      <c r="D15" s="4"/>
      <c r="E15" s="4"/>
      <c r="F15" s="4"/>
      <c r="G15" s="4"/>
    </row>
    <row r="16" spans="1:8" ht="97.5" customHeight="1">
      <c r="A16" s="1505" t="s">
        <v>816</v>
      </c>
      <c r="B16" s="1505"/>
      <c r="C16" s="1505"/>
      <c r="D16" s="1505"/>
      <c r="E16" s="1505"/>
      <c r="F16" s="1505"/>
      <c r="G16" s="1505"/>
      <c r="H16" s="1505"/>
    </row>
    <row r="17" spans="1:8" ht="17.25" customHeight="1">
      <c r="A17" s="1437" t="s">
        <v>137</v>
      </c>
      <c r="B17" s="1437"/>
      <c r="C17" s="1437"/>
      <c r="D17" s="1437"/>
      <c r="E17" s="1437"/>
      <c r="F17" s="1437"/>
      <c r="G17" s="1437"/>
      <c r="H17" s="1437"/>
    </row>
    <row r="18" spans="1:8" ht="16.5" customHeight="1">
      <c r="A18" s="1506">
        <v>54</v>
      </c>
      <c r="B18" s="1506"/>
      <c r="C18" s="1506"/>
      <c r="D18" s="1506"/>
      <c r="E18" s="1506"/>
      <c r="F18" s="1506"/>
      <c r="G18" s="1506"/>
      <c r="H18" s="1506"/>
    </row>
  </sheetData>
  <sheetProtection/>
  <mergeCells count="6">
    <mergeCell ref="A18:H18"/>
    <mergeCell ref="A1:F1"/>
    <mergeCell ref="G1:H1"/>
    <mergeCell ref="A2:H2"/>
    <mergeCell ref="A16:H16"/>
    <mergeCell ref="A17:H17"/>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E44"/>
  <sheetViews>
    <sheetView zoomScalePageLayoutView="0" workbookViewId="0" topLeftCell="A19">
      <selection activeCell="A1" sqref="A1:E1"/>
    </sheetView>
  </sheetViews>
  <sheetFormatPr defaultColWidth="9.33203125" defaultRowHeight="12.75"/>
  <cols>
    <col min="1" max="1" width="11.5" style="0" customWidth="1"/>
    <col min="2" max="2" width="62.66015625" style="0" customWidth="1"/>
    <col min="3" max="3" width="34.66015625" style="0" customWidth="1"/>
    <col min="4" max="4" width="14" style="0" customWidth="1"/>
    <col min="5" max="5" width="2.66015625" style="0" customWidth="1"/>
  </cols>
  <sheetData>
    <row r="1" spans="1:5" ht="72" customHeight="1">
      <c r="A1" s="1198" t="s">
        <v>817</v>
      </c>
      <c r="B1" s="1198"/>
      <c r="C1" s="1198"/>
      <c r="D1" s="1509" t="s">
        <v>818</v>
      </c>
      <c r="E1" s="1509"/>
    </row>
    <row r="2" spans="1:4" ht="17.25" customHeight="1">
      <c r="A2" s="1076" t="s">
        <v>819</v>
      </c>
      <c r="B2" s="1078"/>
      <c r="C2" s="1089"/>
      <c r="D2" s="1091"/>
    </row>
    <row r="3" spans="1:4" ht="17.25" customHeight="1">
      <c r="A3" s="1076" t="s">
        <v>820</v>
      </c>
      <c r="B3" s="1078"/>
      <c r="C3" s="1089"/>
      <c r="D3" s="1091"/>
    </row>
    <row r="4" spans="1:4" ht="17.25" customHeight="1">
      <c r="A4" s="1076" t="s">
        <v>821</v>
      </c>
      <c r="B4" s="1078"/>
      <c r="C4" s="1089"/>
      <c r="D4" s="1091"/>
    </row>
    <row r="5" spans="1:4" ht="17.25" customHeight="1">
      <c r="A5" s="1" t="s">
        <v>92</v>
      </c>
      <c r="B5" s="1" t="s">
        <v>822</v>
      </c>
      <c r="C5" s="1076" t="s">
        <v>823</v>
      </c>
      <c r="D5" s="1078"/>
    </row>
    <row r="6" spans="1:4" ht="17.25" customHeight="1">
      <c r="A6" s="9">
        <v>1</v>
      </c>
      <c r="B6" s="3" t="s">
        <v>824</v>
      </c>
      <c r="C6" s="1089"/>
      <c r="D6" s="1091"/>
    </row>
    <row r="7" spans="1:4" ht="17.25" customHeight="1">
      <c r="A7" s="9">
        <v>2</v>
      </c>
      <c r="B7" s="3" t="s">
        <v>825</v>
      </c>
      <c r="C7" s="1089"/>
      <c r="D7" s="1091"/>
    </row>
    <row r="8" spans="1:4" ht="17.25" customHeight="1">
      <c r="A8" s="9">
        <v>3</v>
      </c>
      <c r="B8" s="3" t="s">
        <v>826</v>
      </c>
      <c r="C8" s="1089"/>
      <c r="D8" s="1091"/>
    </row>
    <row r="9" spans="1:4" ht="17.25" customHeight="1">
      <c r="A9" s="9">
        <v>4</v>
      </c>
      <c r="B9" s="3" t="s">
        <v>827</v>
      </c>
      <c r="C9" s="1089"/>
      <c r="D9" s="1091"/>
    </row>
    <row r="10" spans="1:4" ht="17.25" customHeight="1">
      <c r="A10" s="9">
        <v>5</v>
      </c>
      <c r="B10" s="3" t="s">
        <v>828</v>
      </c>
      <c r="C10" s="1089"/>
      <c r="D10" s="1091"/>
    </row>
    <row r="11" spans="1:4" ht="17.25" customHeight="1">
      <c r="A11" s="9">
        <v>6</v>
      </c>
      <c r="B11" s="3" t="s">
        <v>829</v>
      </c>
      <c r="C11" s="1089"/>
      <c r="D11" s="1091"/>
    </row>
    <row r="12" spans="1:4" ht="17.25" customHeight="1">
      <c r="A12" s="9">
        <v>7</v>
      </c>
      <c r="B12" s="3" t="s">
        <v>830</v>
      </c>
      <c r="C12" s="1089"/>
      <c r="D12" s="1091"/>
    </row>
    <row r="13" spans="1:4" ht="17.25" customHeight="1">
      <c r="A13" s="9">
        <v>8</v>
      </c>
      <c r="B13" s="3" t="s">
        <v>831</v>
      </c>
      <c r="C13" s="1089"/>
      <c r="D13" s="1091"/>
    </row>
    <row r="14" spans="1:4" ht="17.25" customHeight="1">
      <c r="A14" s="9">
        <v>9</v>
      </c>
      <c r="B14" s="3" t="s">
        <v>832</v>
      </c>
      <c r="C14" s="1089"/>
      <c r="D14" s="1091"/>
    </row>
    <row r="15" spans="1:4" ht="17.25" customHeight="1">
      <c r="A15" s="9">
        <v>10</v>
      </c>
      <c r="B15" s="3" t="s">
        <v>833</v>
      </c>
      <c r="C15" s="1089"/>
      <c r="D15" s="1091"/>
    </row>
    <row r="16" spans="1:4" ht="17.25" customHeight="1">
      <c r="A16" s="9">
        <v>11</v>
      </c>
      <c r="B16" s="3" t="s">
        <v>834</v>
      </c>
      <c r="C16" s="1089"/>
      <c r="D16" s="1091"/>
    </row>
    <row r="17" spans="1:4" ht="17.25" customHeight="1">
      <c r="A17" s="9">
        <v>12</v>
      </c>
      <c r="B17" s="3" t="s">
        <v>835</v>
      </c>
      <c r="C17" s="1089"/>
      <c r="D17" s="1091"/>
    </row>
    <row r="18" spans="1:4" ht="17.25" customHeight="1">
      <c r="A18" s="9">
        <v>13</v>
      </c>
      <c r="B18" s="3" t="s">
        <v>836</v>
      </c>
      <c r="C18" s="1089"/>
      <c r="D18" s="1091"/>
    </row>
    <row r="19" spans="1:4" ht="17.25" customHeight="1">
      <c r="A19" s="9">
        <v>14</v>
      </c>
      <c r="B19" s="3" t="s">
        <v>837</v>
      </c>
      <c r="C19" s="1089"/>
      <c r="D19" s="1091"/>
    </row>
    <row r="20" spans="1:4" ht="17.25" customHeight="1">
      <c r="A20" s="9">
        <v>15</v>
      </c>
      <c r="B20" s="3" t="s">
        <v>838</v>
      </c>
      <c r="C20" s="1089"/>
      <c r="D20" s="1091"/>
    </row>
    <row r="21" spans="1:4" ht="17.25" customHeight="1">
      <c r="A21" s="9">
        <v>16</v>
      </c>
      <c r="B21" s="3" t="s">
        <v>839</v>
      </c>
      <c r="C21" s="1089"/>
      <c r="D21" s="1091"/>
    </row>
    <row r="22" spans="1:4" ht="17.25" customHeight="1">
      <c r="A22" s="9">
        <v>17</v>
      </c>
      <c r="B22" s="3" t="s">
        <v>840</v>
      </c>
      <c r="C22" s="1089"/>
      <c r="D22" s="1091"/>
    </row>
    <row r="23" spans="1:4" ht="17.25" customHeight="1">
      <c r="A23" s="9">
        <v>18</v>
      </c>
      <c r="B23" s="3" t="s">
        <v>841</v>
      </c>
      <c r="C23" s="1089"/>
      <c r="D23" s="1091"/>
    </row>
    <row r="24" spans="1:4" ht="17.25" customHeight="1">
      <c r="A24" s="9">
        <v>19</v>
      </c>
      <c r="B24" s="3" t="s">
        <v>842</v>
      </c>
      <c r="C24" s="1089"/>
      <c r="D24" s="1091"/>
    </row>
    <row r="25" spans="1:4" ht="17.25" customHeight="1">
      <c r="A25" s="9">
        <v>20</v>
      </c>
      <c r="B25" s="3" t="s">
        <v>843</v>
      </c>
      <c r="C25" s="1089"/>
      <c r="D25" s="1091"/>
    </row>
    <row r="26" spans="1:4" ht="17.25" customHeight="1">
      <c r="A26" s="9">
        <v>21</v>
      </c>
      <c r="B26" s="3" t="s">
        <v>844</v>
      </c>
      <c r="C26" s="1089"/>
      <c r="D26" s="1091"/>
    </row>
    <row r="27" spans="1:4" ht="17.25" customHeight="1">
      <c r="A27" s="9">
        <v>22</v>
      </c>
      <c r="B27" s="3" t="s">
        <v>845</v>
      </c>
      <c r="C27" s="1089"/>
      <c r="D27" s="1091"/>
    </row>
    <row r="28" spans="1:4" ht="17.25" customHeight="1">
      <c r="A28" s="9">
        <v>23</v>
      </c>
      <c r="B28" s="3" t="s">
        <v>846</v>
      </c>
      <c r="C28" s="1089"/>
      <c r="D28" s="1091"/>
    </row>
    <row r="29" spans="1:4" ht="17.25" customHeight="1">
      <c r="A29" s="9">
        <v>24</v>
      </c>
      <c r="B29" s="3" t="s">
        <v>847</v>
      </c>
      <c r="C29" s="1089"/>
      <c r="D29" s="1091"/>
    </row>
    <row r="30" spans="1:4" ht="17.25" customHeight="1">
      <c r="A30" s="1076" t="s">
        <v>848</v>
      </c>
      <c r="B30" s="1078"/>
      <c r="C30" s="1080" t="s">
        <v>849</v>
      </c>
      <c r="D30" s="1082"/>
    </row>
    <row r="31" spans="1:4" ht="17.25" customHeight="1">
      <c r="A31" s="1224" t="s">
        <v>850</v>
      </c>
      <c r="B31" s="1225"/>
      <c r="C31" s="1089"/>
      <c r="D31" s="1091"/>
    </row>
    <row r="32" spans="1:4" ht="17.25" customHeight="1">
      <c r="A32" s="1224" t="s">
        <v>851</v>
      </c>
      <c r="B32" s="1225"/>
      <c r="C32" s="1089"/>
      <c r="D32" s="1091"/>
    </row>
    <row r="33" spans="1:4" ht="17.25" customHeight="1">
      <c r="A33" s="1224" t="s">
        <v>852</v>
      </c>
      <c r="B33" s="1225"/>
      <c r="C33" s="1089"/>
      <c r="D33" s="1091"/>
    </row>
    <row r="34" spans="1:4" ht="17.25" customHeight="1">
      <c r="A34" s="1224" t="s">
        <v>853</v>
      </c>
      <c r="B34" s="1225"/>
      <c r="C34" s="1089"/>
      <c r="D34" s="1091"/>
    </row>
    <row r="35" spans="1:4" ht="17.25" customHeight="1">
      <c r="A35" s="1224" t="s">
        <v>854</v>
      </c>
      <c r="B35" s="1225"/>
      <c r="C35" s="1089"/>
      <c r="D35" s="1091"/>
    </row>
    <row r="36" spans="1:4" ht="17.25" customHeight="1">
      <c r="A36" s="1076" t="s">
        <v>855</v>
      </c>
      <c r="B36" s="1078"/>
      <c r="C36" s="1080" t="s">
        <v>856</v>
      </c>
      <c r="D36" s="1082"/>
    </row>
    <row r="37" spans="1:4" ht="17.25" customHeight="1">
      <c r="A37" s="1224" t="s">
        <v>857</v>
      </c>
      <c r="B37" s="1225"/>
      <c r="C37" s="1089"/>
      <c r="D37" s="1091"/>
    </row>
    <row r="38" spans="1:4" ht="17.25" customHeight="1">
      <c r="A38" s="1224" t="s">
        <v>700</v>
      </c>
      <c r="B38" s="1225"/>
      <c r="C38" s="1089"/>
      <c r="D38" s="1091"/>
    </row>
    <row r="39" spans="1:4" ht="17.25" customHeight="1">
      <c r="A39" s="1224" t="s">
        <v>858</v>
      </c>
      <c r="B39" s="1225"/>
      <c r="C39" s="1089"/>
      <c r="D39" s="1091"/>
    </row>
    <row r="40" spans="1:4" ht="17.25" customHeight="1">
      <c r="A40" s="1224" t="s">
        <v>859</v>
      </c>
      <c r="B40" s="1225"/>
      <c r="C40" s="1089"/>
      <c r="D40" s="1091"/>
    </row>
    <row r="41" spans="1:4" ht="17.25" customHeight="1">
      <c r="A41" s="1224" t="s">
        <v>860</v>
      </c>
      <c r="B41" s="1225"/>
      <c r="C41" s="1089"/>
      <c r="D41" s="1091"/>
    </row>
    <row r="42" spans="1:4" ht="17.25" customHeight="1">
      <c r="A42" s="1224" t="s">
        <v>861</v>
      </c>
      <c r="B42" s="1225"/>
      <c r="C42" s="1089"/>
      <c r="D42" s="1091"/>
    </row>
    <row r="43" spans="1:4" ht="17.25" customHeight="1">
      <c r="A43" s="1224" t="s">
        <v>862</v>
      </c>
      <c r="B43" s="1225"/>
      <c r="C43" s="1089"/>
      <c r="D43" s="1091"/>
    </row>
    <row r="44" spans="1:5" ht="33.75" customHeight="1">
      <c r="A44" s="1378" t="s">
        <v>863</v>
      </c>
      <c r="B44" s="1378"/>
      <c r="C44" s="1378"/>
      <c r="D44" s="1378"/>
      <c r="E44" s="1378"/>
    </row>
  </sheetData>
  <sheetProtection/>
  <mergeCells count="62">
    <mergeCell ref="A4:B4"/>
    <mergeCell ref="C4:D4"/>
    <mergeCell ref="C5:D5"/>
    <mergeCell ref="C6:D6"/>
    <mergeCell ref="C7:D7"/>
    <mergeCell ref="A1:C1"/>
    <mergeCell ref="D1:E1"/>
    <mergeCell ref="A2:B2"/>
    <mergeCell ref="C2:D2"/>
    <mergeCell ref="A3:B3"/>
    <mergeCell ref="C3:D3"/>
    <mergeCell ref="C15:D15"/>
    <mergeCell ref="C16:D16"/>
    <mergeCell ref="C17:D17"/>
    <mergeCell ref="C18:D18"/>
    <mergeCell ref="C19:D19"/>
    <mergeCell ref="C8:D8"/>
    <mergeCell ref="C29:D29"/>
    <mergeCell ref="A30:B30"/>
    <mergeCell ref="C30:D30"/>
    <mergeCell ref="C20:D20"/>
    <mergeCell ref="C9:D9"/>
    <mergeCell ref="C10:D10"/>
    <mergeCell ref="C11:D11"/>
    <mergeCell ref="C12:D12"/>
    <mergeCell ref="C13:D13"/>
    <mergeCell ref="C14:D14"/>
    <mergeCell ref="A31:B31"/>
    <mergeCell ref="C31:D31"/>
    <mergeCell ref="C21:D21"/>
    <mergeCell ref="C22:D22"/>
    <mergeCell ref="C23:D23"/>
    <mergeCell ref="C24:D24"/>
    <mergeCell ref="C25:D25"/>
    <mergeCell ref="C26:D26"/>
    <mergeCell ref="C27:D27"/>
    <mergeCell ref="C28:D28"/>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4:E44"/>
    <mergeCell ref="A41:B41"/>
    <mergeCell ref="C41:D41"/>
    <mergeCell ref="A42:B42"/>
    <mergeCell ref="C42:D42"/>
    <mergeCell ref="A43:B43"/>
    <mergeCell ref="C43:D43"/>
  </mergeCells>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F1"/>
    </sheetView>
  </sheetViews>
  <sheetFormatPr defaultColWidth="9.33203125" defaultRowHeight="12.75"/>
  <cols>
    <col min="1" max="1" width="9.5" style="0" customWidth="1"/>
    <col min="2" max="2" width="47.83203125" style="0" customWidth="1"/>
    <col min="3" max="3" width="22.83203125" style="0" customWidth="1"/>
    <col min="4" max="4" width="21.33203125" style="0" customWidth="1"/>
    <col min="5" max="5" width="18" style="0" customWidth="1"/>
    <col min="6" max="6" width="13.5" style="0" customWidth="1"/>
    <col min="7" max="7" width="16" style="0" customWidth="1"/>
    <col min="8" max="8" width="19.83203125" style="0" customWidth="1"/>
    <col min="9" max="9" width="5.5" style="0" customWidth="1"/>
  </cols>
  <sheetData>
    <row r="1" spans="1:9" ht="72" customHeight="1">
      <c r="A1" s="1198" t="s">
        <v>864</v>
      </c>
      <c r="B1" s="1198"/>
      <c r="C1" s="1198"/>
      <c r="D1" s="1198"/>
      <c r="E1" s="1198"/>
      <c r="F1" s="1198"/>
      <c r="G1" s="1510" t="s">
        <v>865</v>
      </c>
      <c r="H1" s="1510"/>
      <c r="I1" s="1510"/>
    </row>
    <row r="2" spans="1:8" ht="79.5" customHeight="1">
      <c r="A2" s="1472" t="s">
        <v>398</v>
      </c>
      <c r="B2" s="1511" t="s">
        <v>866</v>
      </c>
      <c r="C2" s="17" t="s">
        <v>867</v>
      </c>
      <c r="D2" s="27" t="s">
        <v>868</v>
      </c>
      <c r="E2" s="71" t="s">
        <v>869</v>
      </c>
      <c r="F2" s="1447" t="s">
        <v>870</v>
      </c>
      <c r="G2" s="1448"/>
      <c r="H2" s="17" t="s">
        <v>871</v>
      </c>
    </row>
    <row r="3" spans="1:8" ht="15.75" customHeight="1">
      <c r="A3" s="1473"/>
      <c r="B3" s="1512"/>
      <c r="C3" s="72" t="s">
        <v>872</v>
      </c>
      <c r="D3" s="57" t="s">
        <v>872</v>
      </c>
      <c r="E3" s="17" t="s">
        <v>872</v>
      </c>
      <c r="F3" s="1089"/>
      <c r="G3" s="1091"/>
      <c r="H3" s="4"/>
    </row>
    <row r="4" spans="1:8" ht="15.75" customHeight="1">
      <c r="A4" s="18">
        <v>1</v>
      </c>
      <c r="B4" s="28" t="s">
        <v>873</v>
      </c>
      <c r="C4" s="4"/>
      <c r="D4" s="4"/>
      <c r="E4" s="4"/>
      <c r="F4" s="1089"/>
      <c r="G4" s="1091"/>
      <c r="H4" s="4"/>
    </row>
    <row r="5" spans="1:8" ht="15.75" customHeight="1">
      <c r="A5" s="73">
        <v>1.1</v>
      </c>
      <c r="B5" s="19" t="s">
        <v>874</v>
      </c>
      <c r="C5" s="4"/>
      <c r="D5" s="4"/>
      <c r="E5" s="4"/>
      <c r="F5" s="1089"/>
      <c r="G5" s="1091"/>
      <c r="H5" s="4"/>
    </row>
    <row r="6" spans="1:8" ht="18" customHeight="1">
      <c r="A6" s="73">
        <v>1.2</v>
      </c>
      <c r="B6" s="19" t="s">
        <v>875</v>
      </c>
      <c r="C6" s="4"/>
      <c r="D6" s="4"/>
      <c r="E6" s="4"/>
      <c r="F6" s="1089"/>
      <c r="G6" s="1091"/>
      <c r="H6" s="4"/>
    </row>
    <row r="7" spans="1:8" ht="31.5" customHeight="1">
      <c r="A7" s="73">
        <v>1.3</v>
      </c>
      <c r="B7" s="5" t="s">
        <v>876</v>
      </c>
      <c r="C7" s="6"/>
      <c r="D7" s="6"/>
      <c r="E7" s="6"/>
      <c r="F7" s="1209"/>
      <c r="G7" s="1097"/>
      <c r="H7" s="6"/>
    </row>
    <row r="8" spans="1:8" ht="14.25" customHeight="1">
      <c r="A8" s="4"/>
      <c r="B8" s="4"/>
      <c r="C8" s="4"/>
      <c r="D8" s="4"/>
      <c r="E8" s="4"/>
      <c r="F8" s="1089"/>
      <c r="G8" s="1091"/>
      <c r="H8" s="4"/>
    </row>
    <row r="9" spans="1:8" ht="16.5" customHeight="1">
      <c r="A9" s="18">
        <v>2</v>
      </c>
      <c r="B9" s="28" t="s">
        <v>877</v>
      </c>
      <c r="C9" s="4"/>
      <c r="D9" s="4"/>
      <c r="E9" s="4"/>
      <c r="F9" s="1089"/>
      <c r="G9" s="1091"/>
      <c r="H9" s="4"/>
    </row>
    <row r="10" spans="1:8" ht="16.5" customHeight="1">
      <c r="A10" s="73">
        <v>2.1</v>
      </c>
      <c r="B10" s="19" t="s">
        <v>878</v>
      </c>
      <c r="C10" s="4"/>
      <c r="D10" s="4"/>
      <c r="E10" s="4"/>
      <c r="F10" s="1089"/>
      <c r="G10" s="1091"/>
      <c r="H10" s="4"/>
    </row>
    <row r="11" spans="1:8" ht="16.5" customHeight="1">
      <c r="A11" s="73">
        <v>2.2</v>
      </c>
      <c r="B11" s="19" t="s">
        <v>879</v>
      </c>
      <c r="C11" s="4"/>
      <c r="D11" s="4"/>
      <c r="E11" s="4"/>
      <c r="F11" s="1089"/>
      <c r="G11" s="1091"/>
      <c r="H11" s="4"/>
    </row>
    <row r="12" spans="1:8" ht="16.5" customHeight="1">
      <c r="A12" s="73">
        <v>2.3</v>
      </c>
      <c r="B12" s="19" t="s">
        <v>880</v>
      </c>
      <c r="C12" s="4"/>
      <c r="D12" s="4"/>
      <c r="E12" s="4"/>
      <c r="F12" s="1089"/>
      <c r="G12" s="1091"/>
      <c r="H12" s="4"/>
    </row>
    <row r="13" spans="1:8" ht="16.5" customHeight="1">
      <c r="A13" s="20" t="s">
        <v>881</v>
      </c>
      <c r="B13" s="19" t="s">
        <v>882</v>
      </c>
      <c r="C13" s="4"/>
      <c r="D13" s="4"/>
      <c r="E13" s="4"/>
      <c r="F13" s="1089"/>
      <c r="G13" s="1091"/>
      <c r="H13" s="4"/>
    </row>
    <row r="14" spans="1:8" ht="16.5" customHeight="1">
      <c r="A14" s="20" t="s">
        <v>883</v>
      </c>
      <c r="B14" s="19" t="s">
        <v>884</v>
      </c>
      <c r="C14" s="4"/>
      <c r="D14" s="4"/>
      <c r="E14" s="4"/>
      <c r="F14" s="1089"/>
      <c r="G14" s="1091"/>
      <c r="H14" s="4"/>
    </row>
    <row r="15" spans="1:8" ht="16.5" customHeight="1">
      <c r="A15" s="20" t="s">
        <v>885</v>
      </c>
      <c r="B15" s="19" t="s">
        <v>886</v>
      </c>
      <c r="C15" s="4"/>
      <c r="D15" s="4"/>
      <c r="E15" s="4"/>
      <c r="F15" s="1089"/>
      <c r="G15" s="1091"/>
      <c r="H15" s="4"/>
    </row>
    <row r="16" spans="1:8" ht="16.5" customHeight="1">
      <c r="A16" s="20" t="s">
        <v>887</v>
      </c>
      <c r="B16" s="19" t="s">
        <v>888</v>
      </c>
      <c r="C16" s="4"/>
      <c r="D16" s="4"/>
      <c r="E16" s="4"/>
      <c r="F16" s="1089"/>
      <c r="G16" s="1091"/>
      <c r="H16" s="4"/>
    </row>
    <row r="17" spans="1:8" ht="16.5" customHeight="1">
      <c r="A17" s="20" t="s">
        <v>889</v>
      </c>
      <c r="B17" s="19" t="s">
        <v>890</v>
      </c>
      <c r="C17" s="4"/>
      <c r="D17" s="4"/>
      <c r="E17" s="4"/>
      <c r="F17" s="1089"/>
      <c r="G17" s="1091"/>
      <c r="H17" s="4"/>
    </row>
    <row r="18" spans="1:8" ht="16.5" customHeight="1">
      <c r="A18" s="20" t="s">
        <v>891</v>
      </c>
      <c r="B18" s="19" t="s">
        <v>882</v>
      </c>
      <c r="C18" s="4"/>
      <c r="D18" s="4"/>
      <c r="E18" s="4"/>
      <c r="F18" s="1089"/>
      <c r="G18" s="1091"/>
      <c r="H18" s="4"/>
    </row>
    <row r="19" spans="1:8" ht="16.5" customHeight="1">
      <c r="A19" s="20" t="s">
        <v>892</v>
      </c>
      <c r="B19" s="19" t="s">
        <v>893</v>
      </c>
      <c r="C19" s="4"/>
      <c r="D19" s="4"/>
      <c r="E19" s="4"/>
      <c r="F19" s="1089"/>
      <c r="G19" s="1091"/>
      <c r="H19" s="4"/>
    </row>
    <row r="20" spans="1:8" ht="16.5" customHeight="1">
      <c r="A20" s="20" t="s">
        <v>894</v>
      </c>
      <c r="B20" s="19" t="s">
        <v>895</v>
      </c>
      <c r="C20" s="4"/>
      <c r="D20" s="4"/>
      <c r="E20" s="4"/>
      <c r="F20" s="1089"/>
      <c r="G20" s="1091"/>
      <c r="H20" s="4"/>
    </row>
    <row r="21" spans="1:8" ht="16.5" customHeight="1">
      <c r="A21" s="20" t="s">
        <v>896</v>
      </c>
      <c r="B21" s="19" t="s">
        <v>897</v>
      </c>
      <c r="C21" s="4"/>
      <c r="D21" s="4"/>
      <c r="E21" s="4"/>
      <c r="F21" s="1089"/>
      <c r="G21" s="1091"/>
      <c r="H21" s="4"/>
    </row>
    <row r="22" spans="1:8" ht="16.5" customHeight="1">
      <c r="A22" s="74">
        <v>40212</v>
      </c>
      <c r="B22" s="19" t="s">
        <v>898</v>
      </c>
      <c r="C22" s="4"/>
      <c r="D22" s="4"/>
      <c r="E22" s="4"/>
      <c r="F22" s="1089"/>
      <c r="G22" s="1091"/>
      <c r="H22" s="4"/>
    </row>
    <row r="23" spans="1:8" ht="16.5" customHeight="1">
      <c r="A23" s="74">
        <v>40577</v>
      </c>
      <c r="B23" s="19" t="s">
        <v>899</v>
      </c>
      <c r="C23" s="4"/>
      <c r="D23" s="4"/>
      <c r="E23" s="4"/>
      <c r="F23" s="1089"/>
      <c r="G23" s="1091"/>
      <c r="H23" s="4"/>
    </row>
    <row r="24" spans="1:8" ht="16.5" customHeight="1">
      <c r="A24" s="74">
        <v>40942</v>
      </c>
      <c r="B24" s="19" t="s">
        <v>900</v>
      </c>
      <c r="C24" s="4"/>
      <c r="D24" s="4"/>
      <c r="E24" s="4"/>
      <c r="F24" s="1089"/>
      <c r="G24" s="1091"/>
      <c r="H24" s="4"/>
    </row>
    <row r="25" spans="1:8" ht="16.5" customHeight="1">
      <c r="A25" s="74">
        <v>41308</v>
      </c>
      <c r="B25" s="19" t="s">
        <v>901</v>
      </c>
      <c r="C25" s="4"/>
      <c r="D25" s="4"/>
      <c r="E25" s="4"/>
      <c r="F25" s="1089"/>
      <c r="G25" s="1091"/>
      <c r="H25" s="4"/>
    </row>
    <row r="26" spans="1:8" ht="16.5" customHeight="1">
      <c r="A26" s="74">
        <v>41673</v>
      </c>
      <c r="B26" s="19" t="s">
        <v>902</v>
      </c>
      <c r="C26" s="4"/>
      <c r="D26" s="4"/>
      <c r="E26" s="4"/>
      <c r="F26" s="1089"/>
      <c r="G26" s="1091"/>
      <c r="H26" s="4"/>
    </row>
    <row r="27" spans="1:8" ht="16.5" customHeight="1">
      <c r="A27" s="4"/>
      <c r="B27" s="28" t="s">
        <v>903</v>
      </c>
      <c r="C27" s="4"/>
      <c r="D27" s="4"/>
      <c r="E27" s="4"/>
      <c r="F27" s="1089"/>
      <c r="G27" s="1091"/>
      <c r="H27" s="4"/>
    </row>
    <row r="28" spans="1:8" ht="16.5" customHeight="1">
      <c r="A28" s="4"/>
      <c r="B28" s="4"/>
      <c r="C28" s="4"/>
      <c r="D28" s="4"/>
      <c r="E28" s="4"/>
      <c r="F28" s="1089"/>
      <c r="G28" s="1091"/>
      <c r="H28" s="4"/>
    </row>
    <row r="29" spans="1:8" ht="16.5" customHeight="1">
      <c r="A29" s="75">
        <v>2.4</v>
      </c>
      <c r="B29" s="28" t="s">
        <v>904</v>
      </c>
      <c r="C29" s="4"/>
      <c r="D29" s="4"/>
      <c r="E29" s="4"/>
      <c r="F29" s="1089"/>
      <c r="G29" s="1091"/>
      <c r="H29" s="4"/>
    </row>
    <row r="30" spans="1:8" ht="16.5" customHeight="1">
      <c r="A30" s="20" t="s">
        <v>905</v>
      </c>
      <c r="B30" s="19" t="s">
        <v>906</v>
      </c>
      <c r="C30" s="4"/>
      <c r="D30" s="4"/>
      <c r="E30" s="4"/>
      <c r="F30" s="1089"/>
      <c r="G30" s="1091"/>
      <c r="H30" s="4"/>
    </row>
    <row r="31" spans="1:8" ht="16.5" customHeight="1">
      <c r="A31" s="20" t="s">
        <v>907</v>
      </c>
      <c r="B31" s="19" t="s">
        <v>908</v>
      </c>
      <c r="C31" s="4"/>
      <c r="D31" s="4"/>
      <c r="E31" s="4"/>
      <c r="F31" s="1089"/>
      <c r="G31" s="1091"/>
      <c r="H31" s="4"/>
    </row>
    <row r="32" spans="1:8" ht="16.5" customHeight="1">
      <c r="A32" s="20" t="s">
        <v>909</v>
      </c>
      <c r="B32" s="19" t="s">
        <v>910</v>
      </c>
      <c r="C32" s="4"/>
      <c r="D32" s="4"/>
      <c r="E32" s="4"/>
      <c r="F32" s="1089"/>
      <c r="G32" s="1091"/>
      <c r="H32" s="4"/>
    </row>
    <row r="33" spans="1:8" ht="16.5" customHeight="1">
      <c r="A33" s="20" t="s">
        <v>911</v>
      </c>
      <c r="B33" s="19" t="s">
        <v>912</v>
      </c>
      <c r="C33" s="4"/>
      <c r="D33" s="4"/>
      <c r="E33" s="4"/>
      <c r="F33" s="1089"/>
      <c r="G33" s="1091"/>
      <c r="H33" s="4"/>
    </row>
    <row r="34" spans="1:8" ht="16.5" customHeight="1">
      <c r="A34" s="20" t="s">
        <v>913</v>
      </c>
      <c r="B34" s="19" t="s">
        <v>914</v>
      </c>
      <c r="C34" s="4"/>
      <c r="D34" s="4"/>
      <c r="E34" s="4"/>
      <c r="F34" s="1089"/>
      <c r="G34" s="1091"/>
      <c r="H34" s="4"/>
    </row>
    <row r="35" spans="1:8" ht="16.5" customHeight="1">
      <c r="A35" s="20" t="s">
        <v>915</v>
      </c>
      <c r="B35" s="19" t="s">
        <v>916</v>
      </c>
      <c r="C35" s="4"/>
      <c r="D35" s="4"/>
      <c r="E35" s="4"/>
      <c r="F35" s="1089"/>
      <c r="G35" s="1091"/>
      <c r="H35" s="4"/>
    </row>
    <row r="36" spans="1:8" ht="16.5" customHeight="1">
      <c r="A36" s="4"/>
      <c r="B36" s="28" t="s">
        <v>917</v>
      </c>
      <c r="C36" s="4"/>
      <c r="D36" s="4"/>
      <c r="E36" s="4"/>
      <c r="F36" s="1089"/>
      <c r="G36" s="1091"/>
      <c r="H36" s="4"/>
    </row>
    <row r="37" spans="1:8" ht="31.5" customHeight="1">
      <c r="A37" s="73">
        <v>2.5</v>
      </c>
      <c r="B37" s="5" t="s">
        <v>918</v>
      </c>
      <c r="C37" s="6"/>
      <c r="D37" s="6"/>
      <c r="E37" s="6"/>
      <c r="F37" s="1209"/>
      <c r="G37" s="1097"/>
      <c r="H37" s="6"/>
    </row>
    <row r="38" spans="1:8" ht="31.5" customHeight="1">
      <c r="A38" s="6"/>
      <c r="B38" s="5" t="s">
        <v>919</v>
      </c>
      <c r="C38" s="6"/>
      <c r="D38" s="6"/>
      <c r="E38" s="6"/>
      <c r="F38" s="1209"/>
      <c r="G38" s="1097"/>
      <c r="H38" s="6"/>
    </row>
    <row r="39" spans="1:8" ht="16.5" customHeight="1">
      <c r="A39" s="30">
        <v>3</v>
      </c>
      <c r="B39" s="28" t="s">
        <v>920</v>
      </c>
      <c r="C39" s="4"/>
      <c r="D39" s="4"/>
      <c r="E39" s="4"/>
      <c r="F39" s="1089"/>
      <c r="G39" s="1091"/>
      <c r="H39" s="4"/>
    </row>
    <row r="40" spans="1:8" ht="16.5" customHeight="1">
      <c r="A40" s="18">
        <v>4</v>
      </c>
      <c r="B40" s="28" t="s">
        <v>921</v>
      </c>
      <c r="C40" s="4"/>
      <c r="D40" s="4"/>
      <c r="E40" s="4"/>
      <c r="F40" s="1089"/>
      <c r="G40" s="1091"/>
      <c r="H40" s="4"/>
    </row>
    <row r="41" spans="1:8" ht="16.5" customHeight="1">
      <c r="A41" s="73">
        <v>4.1</v>
      </c>
      <c r="B41" s="19" t="s">
        <v>922</v>
      </c>
      <c r="C41" s="4"/>
      <c r="D41" s="4"/>
      <c r="E41" s="4"/>
      <c r="F41" s="1089"/>
      <c r="G41" s="1091"/>
      <c r="H41" s="4"/>
    </row>
    <row r="42" spans="1:8" ht="16.5" customHeight="1">
      <c r="A42" s="73">
        <v>4.2</v>
      </c>
      <c r="B42" s="19" t="s">
        <v>923</v>
      </c>
      <c r="C42" s="4"/>
      <c r="D42" s="4"/>
      <c r="E42" s="4"/>
      <c r="F42" s="1089"/>
      <c r="G42" s="1091"/>
      <c r="H42" s="4"/>
    </row>
    <row r="43" spans="1:8" ht="16.5" customHeight="1">
      <c r="A43" s="73">
        <v>4.3</v>
      </c>
      <c r="B43" s="19" t="s">
        <v>924</v>
      </c>
      <c r="C43" s="4"/>
      <c r="D43" s="4"/>
      <c r="E43" s="4"/>
      <c r="F43" s="1089"/>
      <c r="G43" s="1091"/>
      <c r="H43" s="4"/>
    </row>
    <row r="44" spans="1:8" ht="16.5" customHeight="1">
      <c r="A44" s="73">
        <v>4.4</v>
      </c>
      <c r="B44" s="19" t="s">
        <v>886</v>
      </c>
      <c r="C44" s="4"/>
      <c r="D44" s="4"/>
      <c r="E44" s="4"/>
      <c r="F44" s="1089"/>
      <c r="G44" s="1091"/>
      <c r="H44" s="4"/>
    </row>
    <row r="45" spans="1:8" ht="16.5" customHeight="1">
      <c r="A45" s="73">
        <v>4.5</v>
      </c>
      <c r="B45" s="19" t="s">
        <v>888</v>
      </c>
      <c r="C45" s="4"/>
      <c r="D45" s="4"/>
      <c r="E45" s="4"/>
      <c r="F45" s="1089"/>
      <c r="G45" s="1091"/>
      <c r="H45" s="4"/>
    </row>
    <row r="46" spans="1:8" ht="16.5" customHeight="1">
      <c r="A46" s="73">
        <v>4.6</v>
      </c>
      <c r="B46" s="19" t="s">
        <v>925</v>
      </c>
      <c r="C46" s="4"/>
      <c r="D46" s="4"/>
      <c r="E46" s="4"/>
      <c r="F46" s="1089"/>
      <c r="G46" s="1091"/>
      <c r="H46" s="4"/>
    </row>
    <row r="47" spans="1:8" ht="16.5" customHeight="1">
      <c r="A47" s="73">
        <v>4.7</v>
      </c>
      <c r="B47" s="19" t="s">
        <v>926</v>
      </c>
      <c r="C47" s="4"/>
      <c r="D47" s="4"/>
      <c r="E47" s="4"/>
      <c r="F47" s="1089"/>
      <c r="G47" s="1091"/>
      <c r="H47" s="4"/>
    </row>
    <row r="48" spans="1:8" ht="16.5" customHeight="1">
      <c r="A48" s="73">
        <v>4.8</v>
      </c>
      <c r="B48" s="19" t="s">
        <v>895</v>
      </c>
      <c r="C48" s="4"/>
      <c r="D48" s="4"/>
      <c r="E48" s="4"/>
      <c r="F48" s="1089"/>
      <c r="G48" s="1091"/>
      <c r="H48" s="4"/>
    </row>
    <row r="49" spans="1:8" ht="16.5" customHeight="1">
      <c r="A49" s="73">
        <v>4.9</v>
      </c>
      <c r="B49" s="19" t="s">
        <v>927</v>
      </c>
      <c r="C49" s="4"/>
      <c r="D49" s="4"/>
      <c r="E49" s="4"/>
      <c r="F49" s="1089"/>
      <c r="G49" s="1091"/>
      <c r="H49" s="4"/>
    </row>
    <row r="50" spans="1:8" ht="16.5" customHeight="1">
      <c r="A50" s="76">
        <v>4.1</v>
      </c>
      <c r="B50" s="19" t="s">
        <v>893</v>
      </c>
      <c r="C50" s="4"/>
      <c r="D50" s="4"/>
      <c r="E50" s="4"/>
      <c r="F50" s="1089"/>
      <c r="G50" s="1091"/>
      <c r="H50" s="4"/>
    </row>
    <row r="51" spans="1:8" ht="16.5" customHeight="1">
      <c r="A51" s="76">
        <v>4.11</v>
      </c>
      <c r="B51" s="19" t="s">
        <v>928</v>
      </c>
      <c r="C51" s="4"/>
      <c r="D51" s="4"/>
      <c r="E51" s="4"/>
      <c r="F51" s="1089"/>
      <c r="G51" s="1091"/>
      <c r="H51" s="4"/>
    </row>
    <row r="52" spans="1:8" ht="16.5" customHeight="1">
      <c r="A52" s="76">
        <v>4.12</v>
      </c>
      <c r="B52" s="19" t="s">
        <v>901</v>
      </c>
      <c r="C52" s="4"/>
      <c r="D52" s="4"/>
      <c r="E52" s="4"/>
      <c r="F52" s="1089"/>
      <c r="G52" s="1091"/>
      <c r="H52" s="4"/>
    </row>
    <row r="53" spans="1:8" ht="16.5" customHeight="1">
      <c r="A53" s="76">
        <v>4.13</v>
      </c>
      <c r="B53" s="19" t="s">
        <v>929</v>
      </c>
      <c r="C53" s="4"/>
      <c r="D53" s="4"/>
      <c r="E53" s="4"/>
      <c r="F53" s="1089"/>
      <c r="G53" s="1091"/>
      <c r="H53" s="4"/>
    </row>
    <row r="54" spans="1:8" ht="16.5" customHeight="1">
      <c r="A54" s="76">
        <v>4.14</v>
      </c>
      <c r="B54" s="19" t="s">
        <v>930</v>
      </c>
      <c r="C54" s="4"/>
      <c r="D54" s="4"/>
      <c r="E54" s="4"/>
      <c r="F54" s="1089"/>
      <c r="G54" s="1091"/>
      <c r="H54" s="4"/>
    </row>
    <row r="55" spans="1:8" ht="16.5" customHeight="1">
      <c r="A55" s="76">
        <v>4.15</v>
      </c>
      <c r="B55" s="77" t="s">
        <v>931</v>
      </c>
      <c r="C55" s="4"/>
      <c r="D55" s="4"/>
      <c r="E55" s="4"/>
      <c r="F55" s="1089"/>
      <c r="G55" s="1091"/>
      <c r="H55" s="4"/>
    </row>
    <row r="56" spans="1:8" ht="16.5" customHeight="1">
      <c r="A56" s="4"/>
      <c r="B56" s="28" t="s">
        <v>932</v>
      </c>
      <c r="C56" s="4"/>
      <c r="D56" s="4"/>
      <c r="E56" s="4"/>
      <c r="F56" s="1089"/>
      <c r="G56" s="1091"/>
      <c r="H56" s="4"/>
    </row>
    <row r="57" spans="1:8" ht="16.5" customHeight="1">
      <c r="A57" s="4"/>
      <c r="B57" s="4"/>
      <c r="C57" s="4"/>
      <c r="D57" s="4"/>
      <c r="E57" s="4"/>
      <c r="F57" s="1089"/>
      <c r="G57" s="1091"/>
      <c r="H57" s="4"/>
    </row>
    <row r="58" spans="1:8" ht="31.5" customHeight="1">
      <c r="A58" s="18">
        <v>5</v>
      </c>
      <c r="B58" s="5" t="s">
        <v>933</v>
      </c>
      <c r="C58" s="6"/>
      <c r="D58" s="6"/>
      <c r="E58" s="6"/>
      <c r="F58" s="1209"/>
      <c r="G58" s="1097"/>
      <c r="H58" s="6"/>
    </row>
    <row r="59" spans="1:8" ht="16.5" customHeight="1">
      <c r="A59" s="73">
        <v>5.1</v>
      </c>
      <c r="B59" s="19" t="s">
        <v>934</v>
      </c>
      <c r="C59" s="4"/>
      <c r="D59" s="4"/>
      <c r="E59" s="4"/>
      <c r="F59" s="1089"/>
      <c r="G59" s="1091"/>
      <c r="H59" s="4"/>
    </row>
    <row r="60" spans="1:8" ht="16.5" customHeight="1">
      <c r="A60" s="73">
        <v>5.2</v>
      </c>
      <c r="B60" s="19" t="s">
        <v>935</v>
      </c>
      <c r="C60" s="4"/>
      <c r="D60" s="4"/>
      <c r="E60" s="4"/>
      <c r="F60" s="1089"/>
      <c r="G60" s="1091"/>
      <c r="H60" s="4"/>
    </row>
    <row r="61" spans="1:8" ht="16.5" customHeight="1">
      <c r="A61" s="73">
        <v>5.3</v>
      </c>
      <c r="B61" s="19" t="s">
        <v>936</v>
      </c>
      <c r="C61" s="4"/>
      <c r="D61" s="4"/>
      <c r="E61" s="4"/>
      <c r="F61" s="1089"/>
      <c r="G61" s="1091"/>
      <c r="H61" s="4"/>
    </row>
    <row r="62" spans="1:8" ht="16.5" customHeight="1">
      <c r="A62" s="73">
        <v>5.4</v>
      </c>
      <c r="B62" s="19" t="s">
        <v>937</v>
      </c>
      <c r="C62" s="4"/>
      <c r="D62" s="4"/>
      <c r="E62" s="4"/>
      <c r="F62" s="1089"/>
      <c r="G62" s="1091"/>
      <c r="H62" s="4"/>
    </row>
    <row r="63" spans="1:8" ht="16.5" customHeight="1">
      <c r="A63" s="73">
        <v>5.5</v>
      </c>
      <c r="B63" s="19" t="s">
        <v>938</v>
      </c>
      <c r="C63" s="4"/>
      <c r="D63" s="4"/>
      <c r="E63" s="4"/>
      <c r="F63" s="1089"/>
      <c r="G63" s="1091"/>
      <c r="H63" s="4"/>
    </row>
    <row r="64" spans="1:8" ht="16.5" customHeight="1">
      <c r="A64" s="73">
        <v>5.6</v>
      </c>
      <c r="B64" s="19" t="s">
        <v>939</v>
      </c>
      <c r="C64" s="4"/>
      <c r="D64" s="4"/>
      <c r="E64" s="4"/>
      <c r="F64" s="1089"/>
      <c r="G64" s="1091"/>
      <c r="H64" s="4"/>
    </row>
    <row r="65" spans="1:8" ht="31.5" customHeight="1">
      <c r="A65" s="6"/>
      <c r="B65" s="5" t="s">
        <v>940</v>
      </c>
      <c r="C65" s="6"/>
      <c r="D65" s="6"/>
      <c r="E65" s="6"/>
      <c r="F65" s="1209"/>
      <c r="G65" s="1097"/>
      <c r="H65" s="6"/>
    </row>
    <row r="66" spans="1:8" ht="16.5" customHeight="1">
      <c r="A66" s="18">
        <v>6</v>
      </c>
      <c r="B66" s="28" t="s">
        <v>941</v>
      </c>
      <c r="C66" s="4"/>
      <c r="D66" s="4"/>
      <c r="E66" s="4"/>
      <c r="F66" s="1089"/>
      <c r="G66" s="1091"/>
      <c r="H66" s="4"/>
    </row>
    <row r="67" spans="1:8" ht="16.5" customHeight="1">
      <c r="A67" s="73">
        <v>6.1</v>
      </c>
      <c r="B67" s="19" t="s">
        <v>942</v>
      </c>
      <c r="C67" s="4"/>
      <c r="D67" s="4"/>
      <c r="E67" s="4"/>
      <c r="F67" s="1089"/>
      <c r="G67" s="1091"/>
      <c r="H67" s="4"/>
    </row>
    <row r="68" spans="1:8" ht="16.5" customHeight="1">
      <c r="A68" s="73">
        <v>6.2</v>
      </c>
      <c r="B68" s="19" t="s">
        <v>943</v>
      </c>
      <c r="C68" s="4"/>
      <c r="D68" s="4"/>
      <c r="E68" s="4"/>
      <c r="F68" s="1089"/>
      <c r="G68" s="1091"/>
      <c r="H68" s="4"/>
    </row>
    <row r="69" spans="1:8" ht="16.5" customHeight="1">
      <c r="A69" s="73">
        <v>6.3</v>
      </c>
      <c r="B69" s="19" t="s">
        <v>944</v>
      </c>
      <c r="C69" s="4"/>
      <c r="D69" s="4"/>
      <c r="E69" s="4"/>
      <c r="F69" s="1089"/>
      <c r="G69" s="1091"/>
      <c r="H69" s="4"/>
    </row>
    <row r="70" spans="1:8" ht="16.5" customHeight="1">
      <c r="A70" s="73">
        <v>6.4</v>
      </c>
      <c r="B70" s="19" t="s">
        <v>945</v>
      </c>
      <c r="C70" s="4"/>
      <c r="D70" s="4"/>
      <c r="E70" s="4"/>
      <c r="F70" s="1089"/>
      <c r="G70" s="1091"/>
      <c r="H70" s="4"/>
    </row>
    <row r="71" spans="1:8" ht="16.5" customHeight="1">
      <c r="A71" s="4"/>
      <c r="B71" s="28" t="s">
        <v>946</v>
      </c>
      <c r="C71" s="4"/>
      <c r="D71" s="4"/>
      <c r="E71" s="4"/>
      <c r="F71" s="1089"/>
      <c r="G71" s="1091"/>
      <c r="H71" s="4"/>
    </row>
    <row r="72" spans="1:8" ht="16.5" customHeight="1">
      <c r="A72" s="18">
        <v>7</v>
      </c>
      <c r="B72" s="28" t="s">
        <v>947</v>
      </c>
      <c r="C72" s="4"/>
      <c r="D72" s="4"/>
      <c r="E72" s="4"/>
      <c r="F72" s="1089"/>
      <c r="G72" s="1091"/>
      <c r="H72" s="4"/>
    </row>
    <row r="73" spans="1:8" ht="16.5" customHeight="1">
      <c r="A73" s="18">
        <v>8</v>
      </c>
      <c r="B73" s="28" t="s">
        <v>948</v>
      </c>
      <c r="C73" s="4"/>
      <c r="D73" s="4"/>
      <c r="E73" s="4"/>
      <c r="F73" s="1089"/>
      <c r="G73" s="1091"/>
      <c r="H73" s="4"/>
    </row>
    <row r="74" spans="1:8" ht="24" customHeight="1">
      <c r="A74" s="73">
        <v>8.1</v>
      </c>
      <c r="B74" s="19" t="s">
        <v>949</v>
      </c>
      <c r="C74" s="6"/>
      <c r="D74" s="6"/>
      <c r="E74" s="6"/>
      <c r="F74" s="1209"/>
      <c r="G74" s="1097"/>
      <c r="H74" s="6"/>
    </row>
    <row r="75" spans="1:8" ht="16.5" customHeight="1">
      <c r="A75" s="73">
        <v>8.2</v>
      </c>
      <c r="B75" s="19" t="s">
        <v>950</v>
      </c>
      <c r="C75" s="4"/>
      <c r="D75" s="4"/>
      <c r="E75" s="4"/>
      <c r="F75" s="1089"/>
      <c r="G75" s="1091"/>
      <c r="H75" s="4"/>
    </row>
    <row r="76" spans="1:8" ht="31.5" customHeight="1">
      <c r="A76" s="73">
        <v>8.3</v>
      </c>
      <c r="B76" s="5" t="s">
        <v>951</v>
      </c>
      <c r="C76" s="6"/>
      <c r="D76" s="6"/>
      <c r="E76" s="6"/>
      <c r="F76" s="1209"/>
      <c r="G76" s="1097"/>
      <c r="H76" s="6"/>
    </row>
    <row r="77" spans="1:8" ht="16.5" customHeight="1">
      <c r="A77" s="73">
        <v>8.4</v>
      </c>
      <c r="B77" s="19" t="s">
        <v>952</v>
      </c>
      <c r="C77" s="4"/>
      <c r="D77" s="4"/>
      <c r="E77" s="4"/>
      <c r="F77" s="1089"/>
      <c r="G77" s="1091"/>
      <c r="H77" s="4"/>
    </row>
    <row r="78" spans="1:8" ht="31.5" customHeight="1">
      <c r="A78" s="6"/>
      <c r="B78" s="5" t="s">
        <v>953</v>
      </c>
      <c r="C78" s="6"/>
      <c r="D78" s="6"/>
      <c r="E78" s="6"/>
      <c r="F78" s="1209"/>
      <c r="G78" s="1097"/>
      <c r="H78" s="6"/>
    </row>
    <row r="79" spans="1:8" ht="31.5" customHeight="1">
      <c r="A79" s="18">
        <v>9</v>
      </c>
      <c r="B79" s="5" t="s">
        <v>954</v>
      </c>
      <c r="C79" s="6"/>
      <c r="D79" s="6"/>
      <c r="E79" s="6"/>
      <c r="F79" s="1209"/>
      <c r="G79" s="1097"/>
      <c r="H79" s="6"/>
    </row>
    <row r="80" spans="1:9" ht="54" customHeight="1">
      <c r="A80" s="1198" t="s">
        <v>955</v>
      </c>
      <c r="B80" s="1198"/>
      <c r="C80" s="1198"/>
      <c r="D80" s="1198"/>
      <c r="E80" s="1198"/>
      <c r="F80" s="1198"/>
      <c r="G80" s="1198"/>
      <c r="H80" s="1198"/>
      <c r="I80" s="1198"/>
    </row>
    <row r="81" spans="1:9" ht="17.25" customHeight="1">
      <c r="A81" s="1199" t="s">
        <v>137</v>
      </c>
      <c r="B81" s="1199"/>
      <c r="C81" s="1199"/>
      <c r="D81" s="1199"/>
      <c r="E81" s="1199"/>
      <c r="F81" s="1199"/>
      <c r="G81" s="1199"/>
      <c r="H81" s="1199"/>
      <c r="I81" s="1199"/>
    </row>
  </sheetData>
  <sheetProtection/>
  <mergeCells count="84">
    <mergeCell ref="F4:G4"/>
    <mergeCell ref="F5:G5"/>
    <mergeCell ref="F6:G6"/>
    <mergeCell ref="F7:G7"/>
    <mergeCell ref="F8:G8"/>
    <mergeCell ref="A1:F1"/>
    <mergeCell ref="G1:I1"/>
    <mergeCell ref="A2:A3"/>
    <mergeCell ref="B2:B3"/>
    <mergeCell ref="F2:G2"/>
    <mergeCell ref="F3:G3"/>
    <mergeCell ref="F16:G16"/>
    <mergeCell ref="F17:G17"/>
    <mergeCell ref="F18:G18"/>
    <mergeCell ref="F19:G19"/>
    <mergeCell ref="F20:G20"/>
    <mergeCell ref="F9:G9"/>
    <mergeCell ref="F10:G10"/>
    <mergeCell ref="F11:G11"/>
    <mergeCell ref="F12:G12"/>
    <mergeCell ref="F13:G13"/>
    <mergeCell ref="F14:G14"/>
    <mergeCell ref="F15:G15"/>
    <mergeCell ref="F28:G28"/>
    <mergeCell ref="F29:G29"/>
    <mergeCell ref="F30:G30"/>
    <mergeCell ref="F39:G39"/>
    <mergeCell ref="F31:G31"/>
    <mergeCell ref="F32:G32"/>
    <mergeCell ref="F21:G21"/>
    <mergeCell ref="F22:G22"/>
    <mergeCell ref="F23:G23"/>
    <mergeCell ref="F24:G24"/>
    <mergeCell ref="F25:G25"/>
    <mergeCell ref="F26:G26"/>
    <mergeCell ref="F27:G27"/>
    <mergeCell ref="F33:G33"/>
    <mergeCell ref="F34:G34"/>
    <mergeCell ref="F35:G35"/>
    <mergeCell ref="F36:G36"/>
    <mergeCell ref="F37:G37"/>
    <mergeCell ref="F38:G38"/>
    <mergeCell ref="F53:G53"/>
    <mergeCell ref="F54:G54"/>
    <mergeCell ref="F55:G55"/>
    <mergeCell ref="F40:G40"/>
    <mergeCell ref="F41:G41"/>
    <mergeCell ref="F42:G42"/>
    <mergeCell ref="F43:G43"/>
    <mergeCell ref="F44:G44"/>
    <mergeCell ref="F63:G63"/>
    <mergeCell ref="F56:G56"/>
    <mergeCell ref="F45:G45"/>
    <mergeCell ref="F46:G46"/>
    <mergeCell ref="F47:G47"/>
    <mergeCell ref="F48:G48"/>
    <mergeCell ref="F49:G49"/>
    <mergeCell ref="F50:G50"/>
    <mergeCell ref="F51:G51"/>
    <mergeCell ref="F52:G52"/>
    <mergeCell ref="F57:G57"/>
    <mergeCell ref="F58:G58"/>
    <mergeCell ref="F59:G59"/>
    <mergeCell ref="F60:G60"/>
    <mergeCell ref="F61:G61"/>
    <mergeCell ref="F62:G62"/>
    <mergeCell ref="F71:G71"/>
    <mergeCell ref="F72:G72"/>
    <mergeCell ref="F73:G73"/>
    <mergeCell ref="F64:G64"/>
    <mergeCell ref="F65:G65"/>
    <mergeCell ref="F66:G66"/>
    <mergeCell ref="F67:G67"/>
    <mergeCell ref="F68:G68"/>
    <mergeCell ref="F79:G79"/>
    <mergeCell ref="F69:G69"/>
    <mergeCell ref="A81:I81"/>
    <mergeCell ref="F74:G74"/>
    <mergeCell ref="F75:G75"/>
    <mergeCell ref="F76:G76"/>
    <mergeCell ref="F77:G77"/>
    <mergeCell ref="F78:G78"/>
    <mergeCell ref="A80:I80"/>
    <mergeCell ref="F70:G70"/>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K15"/>
  <sheetViews>
    <sheetView zoomScalePageLayoutView="0" workbookViewId="0" topLeftCell="A1">
      <selection activeCell="A1" sqref="A1:H1"/>
    </sheetView>
  </sheetViews>
  <sheetFormatPr defaultColWidth="9.33203125" defaultRowHeight="12.75"/>
  <cols>
    <col min="1" max="1" width="10.5" style="0" customWidth="1"/>
    <col min="2" max="2" width="17.83203125" style="0" customWidth="1"/>
    <col min="3" max="3" width="14.66015625" style="0" customWidth="1"/>
    <col min="4" max="4" width="22.16015625" style="0" customWidth="1"/>
    <col min="5" max="5" width="19.83203125" style="0" customWidth="1"/>
    <col min="6" max="6" width="23.33203125" style="0" customWidth="1"/>
    <col min="7" max="7" width="16.16015625" style="0" customWidth="1"/>
    <col min="8" max="8" width="8.16015625" style="0" customWidth="1"/>
    <col min="9" max="9" width="10" style="0" customWidth="1"/>
    <col min="10" max="10" width="22.83203125" style="0" customWidth="1"/>
    <col min="11" max="11" width="8.66015625" style="0" customWidth="1"/>
  </cols>
  <sheetData>
    <row r="1" spans="1:11" ht="72" customHeight="1">
      <c r="A1" s="1198" t="s">
        <v>956</v>
      </c>
      <c r="B1" s="1198"/>
      <c r="C1" s="1198"/>
      <c r="D1" s="1198"/>
      <c r="E1" s="1198"/>
      <c r="F1" s="1198"/>
      <c r="G1" s="1198"/>
      <c r="H1" s="1198"/>
      <c r="I1" s="1510" t="s">
        <v>957</v>
      </c>
      <c r="J1" s="1510"/>
      <c r="K1" s="1510"/>
    </row>
    <row r="2" spans="1:10" ht="34.5" customHeight="1">
      <c r="A2" s="1213" t="s">
        <v>958</v>
      </c>
      <c r="B2" s="1500" t="s">
        <v>959</v>
      </c>
      <c r="C2" s="1406" t="s">
        <v>960</v>
      </c>
      <c r="D2" s="1408"/>
      <c r="E2" s="1513" t="s">
        <v>961</v>
      </c>
      <c r="F2" s="1514"/>
      <c r="G2" s="27" t="s">
        <v>962</v>
      </c>
      <c r="H2" s="1515" t="s">
        <v>963</v>
      </c>
      <c r="I2" s="1516"/>
      <c r="J2" s="1519" t="s">
        <v>964</v>
      </c>
    </row>
    <row r="3" spans="1:10" ht="43.5" customHeight="1">
      <c r="A3" s="1214"/>
      <c r="B3" s="1501"/>
      <c r="C3" s="7" t="s">
        <v>965</v>
      </c>
      <c r="D3" s="7" t="s">
        <v>966</v>
      </c>
      <c r="E3" s="8" t="s">
        <v>967</v>
      </c>
      <c r="F3" s="27" t="s">
        <v>968</v>
      </c>
      <c r="G3" s="1" t="s">
        <v>969</v>
      </c>
      <c r="H3" s="1517"/>
      <c r="I3" s="1518"/>
      <c r="J3" s="1520"/>
    </row>
    <row r="4" spans="1:10" ht="21.75" customHeight="1">
      <c r="A4" s="9">
        <v>1</v>
      </c>
      <c r="B4" s="4"/>
      <c r="C4" s="4"/>
      <c r="D4" s="4"/>
      <c r="E4" s="4"/>
      <c r="F4" s="4"/>
      <c r="G4" s="4"/>
      <c r="H4" s="1089"/>
      <c r="I4" s="1091"/>
      <c r="J4" s="4"/>
    </row>
    <row r="5" spans="1:10" ht="21.75" customHeight="1">
      <c r="A5" s="9">
        <v>2</v>
      </c>
      <c r="B5" s="4"/>
      <c r="C5" s="4"/>
      <c r="D5" s="4"/>
      <c r="E5" s="4"/>
      <c r="F5" s="4"/>
      <c r="G5" s="4"/>
      <c r="H5" s="1089"/>
      <c r="I5" s="1091"/>
      <c r="J5" s="4"/>
    </row>
    <row r="6" spans="1:10" ht="21.75" customHeight="1">
      <c r="A6" s="9">
        <v>3</v>
      </c>
      <c r="B6" s="4"/>
      <c r="C6" s="4"/>
      <c r="D6" s="4"/>
      <c r="E6" s="4"/>
      <c r="F6" s="4"/>
      <c r="G6" s="4"/>
      <c r="H6" s="1089"/>
      <c r="I6" s="1091"/>
      <c r="J6" s="4"/>
    </row>
    <row r="7" spans="1:10" ht="21.75" customHeight="1">
      <c r="A7" s="9">
        <v>4</v>
      </c>
      <c r="B7" s="4"/>
      <c r="C7" s="4"/>
      <c r="D7" s="4"/>
      <c r="E7" s="4"/>
      <c r="F7" s="4"/>
      <c r="G7" s="4"/>
      <c r="H7" s="1089"/>
      <c r="I7" s="1091"/>
      <c r="J7" s="4"/>
    </row>
    <row r="8" spans="1:10" ht="21.75" customHeight="1">
      <c r="A8" s="9">
        <v>5</v>
      </c>
      <c r="B8" s="4"/>
      <c r="C8" s="4"/>
      <c r="D8" s="4"/>
      <c r="E8" s="4"/>
      <c r="F8" s="4"/>
      <c r="G8" s="4"/>
      <c r="H8" s="1089"/>
      <c r="I8" s="1091"/>
      <c r="J8" s="4"/>
    </row>
    <row r="9" spans="1:10" ht="21.75" customHeight="1">
      <c r="A9" s="9">
        <v>6</v>
      </c>
      <c r="B9" s="4"/>
      <c r="C9" s="4"/>
      <c r="D9" s="4"/>
      <c r="E9" s="4"/>
      <c r="F9" s="4"/>
      <c r="G9" s="4"/>
      <c r="H9" s="1089"/>
      <c r="I9" s="1091"/>
      <c r="J9" s="4"/>
    </row>
    <row r="10" spans="1:10" ht="21.75" customHeight="1">
      <c r="A10" s="9">
        <v>7</v>
      </c>
      <c r="B10" s="4"/>
      <c r="C10" s="4"/>
      <c r="D10" s="4"/>
      <c r="E10" s="4"/>
      <c r="F10" s="4"/>
      <c r="G10" s="4"/>
      <c r="H10" s="1089"/>
      <c r="I10" s="1091"/>
      <c r="J10" s="4"/>
    </row>
    <row r="11" spans="1:10" ht="21.75" customHeight="1">
      <c r="A11" s="9">
        <v>8</v>
      </c>
      <c r="B11" s="4"/>
      <c r="C11" s="4"/>
      <c r="D11" s="4"/>
      <c r="E11" s="4"/>
      <c r="F11" s="4"/>
      <c r="G11" s="4"/>
      <c r="H11" s="1089"/>
      <c r="I11" s="1091"/>
      <c r="J11" s="4"/>
    </row>
    <row r="12" spans="1:10" ht="21.75" customHeight="1">
      <c r="A12" s="9">
        <v>9</v>
      </c>
      <c r="B12" s="4"/>
      <c r="C12" s="4"/>
      <c r="D12" s="4"/>
      <c r="E12" s="4"/>
      <c r="F12" s="4"/>
      <c r="G12" s="4"/>
      <c r="H12" s="1089"/>
      <c r="I12" s="1091"/>
      <c r="J12" s="4"/>
    </row>
    <row r="13" spans="1:10" ht="21.75" customHeight="1">
      <c r="A13" s="13" t="s">
        <v>970</v>
      </c>
      <c r="B13" s="1" t="s">
        <v>971</v>
      </c>
      <c r="C13" s="4"/>
      <c r="D13" s="4"/>
      <c r="E13" s="4"/>
      <c r="F13" s="4"/>
      <c r="G13" s="4"/>
      <c r="H13" s="1089"/>
      <c r="I13" s="1091"/>
      <c r="J13" s="4"/>
    </row>
    <row r="14" spans="1:11" ht="48.75" customHeight="1">
      <c r="A14" s="1427" t="s">
        <v>972</v>
      </c>
      <c r="B14" s="1427"/>
      <c r="C14" s="1427"/>
      <c r="D14" s="1427"/>
      <c r="E14" s="1427"/>
      <c r="F14" s="1427"/>
      <c r="G14" s="1427"/>
      <c r="H14" s="1427"/>
      <c r="I14" s="1427"/>
      <c r="J14" s="1427"/>
      <c r="K14" s="1427"/>
    </row>
    <row r="15" spans="1:11" ht="17.25" customHeight="1">
      <c r="A15" s="1199" t="s">
        <v>137</v>
      </c>
      <c r="B15" s="1199"/>
      <c r="C15" s="1199"/>
      <c r="D15" s="1199"/>
      <c r="E15" s="1199"/>
      <c r="F15" s="1199"/>
      <c r="G15" s="1199"/>
      <c r="H15" s="1199"/>
      <c r="I15" s="1199"/>
      <c r="J15" s="1199"/>
      <c r="K15" s="1199"/>
    </row>
  </sheetData>
  <sheetProtection/>
  <mergeCells count="20">
    <mergeCell ref="H4:I4"/>
    <mergeCell ref="H5:I5"/>
    <mergeCell ref="H6:I6"/>
    <mergeCell ref="H7:I7"/>
    <mergeCell ref="H8:I8"/>
    <mergeCell ref="A1:H1"/>
    <mergeCell ref="I1:K1"/>
    <mergeCell ref="A2:A3"/>
    <mergeCell ref="B2:B3"/>
    <mergeCell ref="C2:D2"/>
    <mergeCell ref="E2:F2"/>
    <mergeCell ref="H2:I3"/>
    <mergeCell ref="J2:J3"/>
    <mergeCell ref="A15:K15"/>
    <mergeCell ref="H9:I9"/>
    <mergeCell ref="H10:I10"/>
    <mergeCell ref="H11:I11"/>
    <mergeCell ref="H12:I12"/>
    <mergeCell ref="H13:I13"/>
    <mergeCell ref="A14:K14"/>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J1"/>
    </sheetView>
  </sheetViews>
  <sheetFormatPr defaultColWidth="9.33203125" defaultRowHeight="12.75"/>
  <cols>
    <col min="1" max="1" width="11.5" style="0" customWidth="1"/>
    <col min="2" max="2" width="17.5" style="0" customWidth="1"/>
    <col min="3" max="3" width="24.66015625" style="0" customWidth="1"/>
    <col min="4" max="4" width="16.5" style="0" customWidth="1"/>
    <col min="5" max="5" width="18" style="0" customWidth="1"/>
    <col min="6" max="6" width="5.5" style="0" customWidth="1"/>
    <col min="7" max="7" width="10.83203125" style="0" customWidth="1"/>
    <col min="8" max="8" width="15.16015625" style="0" customWidth="1"/>
    <col min="9" max="9" width="17.83203125" style="0" customWidth="1"/>
    <col min="10" max="10" width="16.5" style="0" customWidth="1"/>
    <col min="11" max="11" width="2.5" style="0" customWidth="1"/>
    <col min="12" max="12" width="14.83203125" style="0" customWidth="1"/>
    <col min="13" max="13" width="2.66015625" style="0" customWidth="1"/>
  </cols>
  <sheetData>
    <row r="1" spans="1:13" ht="57.75" customHeight="1">
      <c r="A1" s="1526" t="s">
        <v>973</v>
      </c>
      <c r="B1" s="1526"/>
      <c r="C1" s="1526"/>
      <c r="D1" s="1526"/>
      <c r="E1" s="1526"/>
      <c r="F1" s="1526"/>
      <c r="G1" s="1526"/>
      <c r="H1" s="1526"/>
      <c r="I1" s="1526"/>
      <c r="J1" s="1526"/>
      <c r="K1" s="1527" t="s">
        <v>974</v>
      </c>
      <c r="L1" s="1527"/>
      <c r="M1" s="1527"/>
    </row>
    <row r="2" spans="1:13" ht="57.75" customHeight="1">
      <c r="A2" s="1198" t="s">
        <v>975</v>
      </c>
      <c r="B2" s="1198"/>
      <c r="C2" s="1198"/>
      <c r="D2" s="1198"/>
      <c r="E2" s="1198"/>
      <c r="F2" s="1198"/>
      <c r="G2" s="1528" t="s">
        <v>463</v>
      </c>
      <c r="H2" s="1528"/>
      <c r="I2" s="1528"/>
      <c r="J2" s="1528"/>
      <c r="K2" s="1528"/>
      <c r="L2" s="1528"/>
      <c r="M2" s="1528"/>
    </row>
    <row r="3" spans="1:12" ht="18" customHeight="1">
      <c r="A3" s="1494" t="s">
        <v>92</v>
      </c>
      <c r="B3" s="1529" t="s">
        <v>976</v>
      </c>
      <c r="C3" s="1500" t="s">
        <v>977</v>
      </c>
      <c r="D3" s="1459" t="s">
        <v>978</v>
      </c>
      <c r="E3" s="1460"/>
      <c r="F3" s="1460"/>
      <c r="G3" s="1460"/>
      <c r="H3" s="1461"/>
      <c r="I3" s="1500" t="s">
        <v>979</v>
      </c>
      <c r="J3" s="1521" t="s">
        <v>980</v>
      </c>
      <c r="K3" s="1522"/>
      <c r="L3" s="1500" t="s">
        <v>981</v>
      </c>
    </row>
    <row r="4" spans="1:12" ht="72.75" customHeight="1">
      <c r="A4" s="1495"/>
      <c r="B4" s="1530"/>
      <c r="C4" s="1501"/>
      <c r="D4" s="61" t="s">
        <v>982</v>
      </c>
      <c r="E4" s="27" t="s">
        <v>983</v>
      </c>
      <c r="F4" s="1205" t="s">
        <v>984</v>
      </c>
      <c r="G4" s="1206"/>
      <c r="H4" s="27" t="s">
        <v>985</v>
      </c>
      <c r="I4" s="1501"/>
      <c r="J4" s="1523"/>
      <c r="K4" s="1524"/>
      <c r="L4" s="1501"/>
    </row>
    <row r="5" spans="1:12" ht="17.25" customHeight="1">
      <c r="A5" s="11">
        <v>1</v>
      </c>
      <c r="B5" s="11">
        <v>2</v>
      </c>
      <c r="C5" s="11">
        <v>3</v>
      </c>
      <c r="D5" s="11">
        <v>4</v>
      </c>
      <c r="E5" s="11">
        <v>5</v>
      </c>
      <c r="F5" s="1080" t="s">
        <v>986</v>
      </c>
      <c r="G5" s="1082"/>
      <c r="H5" s="11">
        <v>7</v>
      </c>
      <c r="I5" s="11">
        <v>8</v>
      </c>
      <c r="J5" s="1216">
        <v>9</v>
      </c>
      <c r="K5" s="1217"/>
      <c r="L5" s="11">
        <v>10</v>
      </c>
    </row>
    <row r="6" spans="1:12" ht="15.75" customHeight="1">
      <c r="A6" s="4"/>
      <c r="B6" s="4"/>
      <c r="C6" s="4"/>
      <c r="D6" s="4"/>
      <c r="E6" s="4"/>
      <c r="F6" s="1089"/>
      <c r="G6" s="1091"/>
      <c r="H6" s="4"/>
      <c r="I6" s="4"/>
      <c r="J6" s="1089"/>
      <c r="K6" s="1091"/>
      <c r="L6" s="4"/>
    </row>
    <row r="7" spans="1:12" ht="15.75" customHeight="1">
      <c r="A7" s="4"/>
      <c r="B7" s="4"/>
      <c r="C7" s="4"/>
      <c r="D7" s="4"/>
      <c r="E7" s="4"/>
      <c r="F7" s="1089"/>
      <c r="G7" s="1091"/>
      <c r="H7" s="4"/>
      <c r="I7" s="4"/>
      <c r="J7" s="1089"/>
      <c r="K7" s="1091"/>
      <c r="L7" s="4"/>
    </row>
    <row r="8" spans="1:13" ht="64.5" customHeight="1">
      <c r="A8" s="1198" t="s">
        <v>987</v>
      </c>
      <c r="B8" s="1198"/>
      <c r="C8" s="1198"/>
      <c r="D8" s="1198"/>
      <c r="E8" s="1198"/>
      <c r="F8" s="1198"/>
      <c r="G8" s="1198"/>
      <c r="H8" s="1198"/>
      <c r="I8" s="1198"/>
      <c r="J8" s="1198"/>
      <c r="K8" s="1198"/>
      <c r="L8" s="1198"/>
      <c r="M8" s="1198"/>
    </row>
    <row r="9" spans="1:13" ht="17.25" customHeight="1">
      <c r="A9" s="1525" t="s">
        <v>137</v>
      </c>
      <c r="B9" s="1525"/>
      <c r="C9" s="1525"/>
      <c r="D9" s="1525"/>
      <c r="E9" s="1525"/>
      <c r="F9" s="1525"/>
      <c r="G9" s="1525"/>
      <c r="H9" s="1525"/>
      <c r="I9" s="1525"/>
      <c r="J9" s="1525"/>
      <c r="K9" s="1525"/>
      <c r="L9" s="1525"/>
      <c r="M9" s="1525"/>
    </row>
  </sheetData>
  <sheetProtection/>
  <mergeCells count="20">
    <mergeCell ref="L3:L4"/>
    <mergeCell ref="F4:G4"/>
    <mergeCell ref="A1:J1"/>
    <mergeCell ref="K1:M1"/>
    <mergeCell ref="A2:F2"/>
    <mergeCell ref="G2:M2"/>
    <mergeCell ref="A3:A4"/>
    <mergeCell ref="B3:B4"/>
    <mergeCell ref="C3:C4"/>
    <mergeCell ref="D3:H3"/>
    <mergeCell ref="I3:I4"/>
    <mergeCell ref="J3:K4"/>
    <mergeCell ref="A8:M8"/>
    <mergeCell ref="A9:M9"/>
    <mergeCell ref="F5:G5"/>
    <mergeCell ref="J5:K5"/>
    <mergeCell ref="F6:G6"/>
    <mergeCell ref="J6:K6"/>
    <mergeCell ref="F7:G7"/>
    <mergeCell ref="J7:K7"/>
  </mergeCells>
  <printOptions/>
  <pageMargins left="0.7" right="0.7" top="0.75" bottom="0.75" header="0.3" footer="0.3"/>
  <pageSetup orientation="portrait" paperSize="9"/>
  <drawing r:id="rId1"/>
</worksheet>
</file>

<file path=xl/worksheets/sheet87.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F1"/>
    </sheetView>
  </sheetViews>
  <sheetFormatPr defaultColWidth="9.33203125" defaultRowHeight="12.75"/>
  <cols>
    <col min="1" max="1" width="9.83203125" style="0" customWidth="1"/>
    <col min="2" max="2" width="27.16015625" style="0" customWidth="1"/>
    <col min="3" max="3" width="34.16015625" style="0" customWidth="1"/>
    <col min="4" max="4" width="19.83203125" style="0" customWidth="1"/>
    <col min="5" max="5" width="18" style="0" customWidth="1"/>
    <col min="6" max="6" width="31.16015625" style="0" customWidth="1"/>
    <col min="7" max="7" width="30.83203125" style="0" customWidth="1"/>
    <col min="8" max="8" width="3.5" style="0" customWidth="1"/>
  </cols>
  <sheetData>
    <row r="1" spans="1:8" ht="43.5" customHeight="1">
      <c r="A1" s="1531" t="s">
        <v>988</v>
      </c>
      <c r="B1" s="1531"/>
      <c r="C1" s="1531"/>
      <c r="D1" s="1531"/>
      <c r="E1" s="1531"/>
      <c r="F1" s="1531"/>
      <c r="G1" s="1532" t="s">
        <v>989</v>
      </c>
      <c r="H1" s="1532"/>
    </row>
    <row r="2" spans="1:8" ht="51.75" customHeight="1">
      <c r="A2" s="1198" t="s">
        <v>990</v>
      </c>
      <c r="B2" s="1198"/>
      <c r="C2" s="1198"/>
      <c r="D2" s="1198"/>
      <c r="E2" s="1198"/>
      <c r="F2" s="1198"/>
      <c r="G2" s="1198"/>
      <c r="H2" s="1198"/>
    </row>
    <row r="3" spans="1:8" ht="17.25" customHeight="1">
      <c r="A3" s="1435" t="s">
        <v>463</v>
      </c>
      <c r="B3" s="1435"/>
      <c r="C3" s="1435"/>
      <c r="D3" s="1435"/>
      <c r="E3" s="1435"/>
      <c r="F3" s="1435"/>
      <c r="G3" s="1435"/>
      <c r="H3" s="1435"/>
    </row>
    <row r="4" spans="1:7" ht="72.75" customHeight="1">
      <c r="A4" s="46" t="s">
        <v>92</v>
      </c>
      <c r="B4" s="39" t="s">
        <v>991</v>
      </c>
      <c r="C4" s="2" t="s">
        <v>992</v>
      </c>
      <c r="D4" s="2" t="s">
        <v>993</v>
      </c>
      <c r="E4" s="65" t="s">
        <v>994</v>
      </c>
      <c r="F4" s="2" t="s">
        <v>995</v>
      </c>
      <c r="G4" s="27" t="s">
        <v>996</v>
      </c>
    </row>
    <row r="5" spans="1:7" ht="17.25" customHeight="1">
      <c r="A5" s="11">
        <v>1</v>
      </c>
      <c r="B5" s="11">
        <v>2</v>
      </c>
      <c r="C5" s="11">
        <v>3</v>
      </c>
      <c r="D5" s="11">
        <v>4</v>
      </c>
      <c r="E5" s="11">
        <v>5</v>
      </c>
      <c r="F5" s="11">
        <v>6</v>
      </c>
      <c r="G5" s="11">
        <v>7</v>
      </c>
    </row>
    <row r="6" spans="1:7" ht="17.25" customHeight="1">
      <c r="A6" s="9">
        <v>1</v>
      </c>
      <c r="B6" s="4"/>
      <c r="C6" s="4"/>
      <c r="D6" s="4"/>
      <c r="E6" s="4"/>
      <c r="F6" s="4"/>
      <c r="G6" s="4"/>
    </row>
    <row r="7" spans="1:7" ht="17.25" customHeight="1">
      <c r="A7" s="9">
        <v>2</v>
      </c>
      <c r="B7" s="4"/>
      <c r="C7" s="4"/>
      <c r="D7" s="4"/>
      <c r="E7" s="4"/>
      <c r="F7" s="4"/>
      <c r="G7" s="4"/>
    </row>
    <row r="8" spans="1:7" ht="17.25" customHeight="1">
      <c r="A8" s="9">
        <v>3</v>
      </c>
      <c r="B8" s="4"/>
      <c r="C8" s="4"/>
      <c r="D8" s="4"/>
      <c r="E8" s="4"/>
      <c r="F8" s="4"/>
      <c r="G8" s="4"/>
    </row>
    <row r="9" spans="1:7" ht="17.25" customHeight="1">
      <c r="A9" s="9">
        <v>4</v>
      </c>
      <c r="B9" s="4"/>
      <c r="C9" s="4"/>
      <c r="D9" s="4"/>
      <c r="E9" s="4"/>
      <c r="F9" s="4"/>
      <c r="G9" s="4"/>
    </row>
    <row r="10" spans="1:7" ht="17.25" customHeight="1">
      <c r="A10" s="9">
        <v>5</v>
      </c>
      <c r="B10" s="4"/>
      <c r="C10" s="4"/>
      <c r="D10" s="4"/>
      <c r="E10" s="4"/>
      <c r="F10" s="4"/>
      <c r="G10" s="4"/>
    </row>
    <row r="11" spans="1:7" ht="15.75" customHeight="1">
      <c r="A11" s="4"/>
      <c r="B11" s="4"/>
      <c r="C11" s="4"/>
      <c r="D11" s="4"/>
      <c r="E11" s="4"/>
      <c r="F11" s="4"/>
      <c r="G11" s="4"/>
    </row>
    <row r="12" spans="1:7" ht="15.75" customHeight="1">
      <c r="A12" s="4"/>
      <c r="B12" s="4"/>
      <c r="C12" s="4"/>
      <c r="D12" s="4"/>
      <c r="E12" s="4"/>
      <c r="F12" s="4"/>
      <c r="G12" s="4"/>
    </row>
    <row r="13" spans="1:8" ht="34.5" customHeight="1">
      <c r="A13" s="1198" t="s">
        <v>997</v>
      </c>
      <c r="B13" s="1198"/>
      <c r="C13" s="1198"/>
      <c r="D13" s="1198"/>
      <c r="E13" s="1198"/>
      <c r="F13" s="1198"/>
      <c r="G13" s="1198"/>
      <c r="H13" s="1198"/>
    </row>
  </sheetData>
  <sheetProtection/>
  <mergeCells count="5">
    <mergeCell ref="A1:F1"/>
    <mergeCell ref="G1:H1"/>
    <mergeCell ref="A2:H2"/>
    <mergeCell ref="A3:H3"/>
    <mergeCell ref="A13:H13"/>
  </mergeCells>
  <printOptions/>
  <pageMargins left="0.7" right="0.7" top="0.75" bottom="0.75" header="0.3" footer="0.3"/>
  <pageSetup orientation="portrait" paperSize="9"/>
  <drawing r:id="rId1"/>
</worksheet>
</file>

<file path=xl/worksheets/sheet88.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G1"/>
    </sheetView>
  </sheetViews>
  <sheetFormatPr defaultColWidth="9.33203125" defaultRowHeight="12.75"/>
  <cols>
    <col min="1" max="1" width="10.5" style="0" customWidth="1"/>
    <col min="2" max="2" width="41.33203125" style="0" customWidth="1"/>
    <col min="3" max="3" width="24.5" style="0" customWidth="1"/>
    <col min="4" max="4" width="16.5" style="0" customWidth="1"/>
    <col min="5" max="5" width="18" style="0" customWidth="1"/>
    <col min="6" max="6" width="16" style="0" customWidth="1"/>
    <col min="7" max="7" width="6" style="0" customWidth="1"/>
    <col min="8" max="8" width="9.83203125" style="0" customWidth="1"/>
    <col min="9" max="9" width="14.66015625" style="0" customWidth="1"/>
    <col min="10" max="10" width="17.33203125" style="0" customWidth="1"/>
  </cols>
  <sheetData>
    <row r="1" spans="1:10" ht="101.25" customHeight="1">
      <c r="A1" s="1533" t="s">
        <v>975</v>
      </c>
      <c r="B1" s="1533"/>
      <c r="C1" s="1441" t="s">
        <v>998</v>
      </c>
      <c r="D1" s="1441"/>
      <c r="E1" s="1441"/>
      <c r="F1" s="1441"/>
      <c r="G1" s="1441"/>
      <c r="H1" s="1235" t="s">
        <v>999</v>
      </c>
      <c r="I1" s="1235"/>
      <c r="J1" s="1235"/>
    </row>
    <row r="2" spans="1:9" ht="17.25" customHeight="1">
      <c r="A2" s="1" t="s">
        <v>92</v>
      </c>
      <c r="B2" s="1080" t="s">
        <v>109</v>
      </c>
      <c r="C2" s="1082"/>
      <c r="D2" s="2" t="s">
        <v>112</v>
      </c>
      <c r="E2" s="2" t="s">
        <v>113</v>
      </c>
      <c r="F2" s="2" t="s">
        <v>114</v>
      </c>
      <c r="G2" s="1080" t="s">
        <v>115</v>
      </c>
      <c r="H2" s="1082"/>
      <c r="I2" s="2" t="s">
        <v>116</v>
      </c>
    </row>
    <row r="3" spans="1:9" ht="17.25" customHeight="1">
      <c r="A3" s="11">
        <v>1</v>
      </c>
      <c r="B3" s="1216">
        <v>2</v>
      </c>
      <c r="C3" s="1217"/>
      <c r="D3" s="11">
        <v>3</v>
      </c>
      <c r="E3" s="11">
        <v>4</v>
      </c>
      <c r="F3" s="11">
        <v>5</v>
      </c>
      <c r="G3" s="1216">
        <v>6</v>
      </c>
      <c r="H3" s="1217"/>
      <c r="I3" s="11">
        <v>7</v>
      </c>
    </row>
    <row r="4" spans="1:9" ht="17.25" customHeight="1">
      <c r="A4" s="9">
        <v>1</v>
      </c>
      <c r="B4" s="1224" t="s">
        <v>1000</v>
      </c>
      <c r="C4" s="1225"/>
      <c r="D4" s="4"/>
      <c r="E4" s="4"/>
      <c r="F4" s="4"/>
      <c r="G4" s="1089"/>
      <c r="H4" s="1091"/>
      <c r="I4" s="4"/>
    </row>
    <row r="5" spans="1:9" ht="17.25" customHeight="1">
      <c r="A5" s="9">
        <v>2</v>
      </c>
      <c r="B5" s="1224" t="s">
        <v>1001</v>
      </c>
      <c r="C5" s="1225"/>
      <c r="D5" s="4"/>
      <c r="E5" s="4"/>
      <c r="F5" s="4"/>
      <c r="G5" s="1089"/>
      <c r="H5" s="1091"/>
      <c r="I5" s="4"/>
    </row>
    <row r="6" spans="1:9" ht="17.25" customHeight="1">
      <c r="A6" s="9">
        <v>3</v>
      </c>
      <c r="B6" s="1224" t="s">
        <v>1002</v>
      </c>
      <c r="C6" s="1225"/>
      <c r="D6" s="4"/>
      <c r="E6" s="4"/>
      <c r="F6" s="4"/>
      <c r="G6" s="1089"/>
      <c r="H6" s="1091"/>
      <c r="I6" s="4"/>
    </row>
    <row r="7" spans="1:9" ht="17.25" customHeight="1">
      <c r="A7" s="9">
        <v>4</v>
      </c>
      <c r="B7" s="1224" t="s">
        <v>1003</v>
      </c>
      <c r="C7" s="1225"/>
      <c r="D7" s="4"/>
      <c r="E7" s="4"/>
      <c r="F7" s="4"/>
      <c r="G7" s="1089"/>
      <c r="H7" s="1091"/>
      <c r="I7" s="4"/>
    </row>
    <row r="8" spans="1:9" ht="17.25" customHeight="1">
      <c r="A8" s="9">
        <v>5</v>
      </c>
      <c r="B8" s="1224" t="s">
        <v>1001</v>
      </c>
      <c r="C8" s="1225"/>
      <c r="D8" s="4"/>
      <c r="E8" s="4"/>
      <c r="F8" s="4"/>
      <c r="G8" s="1089"/>
      <c r="H8" s="1091"/>
      <c r="I8" s="4"/>
    </row>
    <row r="9" spans="1:9" ht="17.25" customHeight="1">
      <c r="A9" s="9">
        <v>6</v>
      </c>
      <c r="B9" s="1224" t="s">
        <v>1004</v>
      </c>
      <c r="C9" s="1225"/>
      <c r="D9" s="4"/>
      <c r="E9" s="4"/>
      <c r="F9" s="4"/>
      <c r="G9" s="1089"/>
      <c r="H9" s="1091"/>
      <c r="I9" s="4"/>
    </row>
    <row r="10" spans="1:9" ht="17.25" customHeight="1">
      <c r="A10" s="11">
        <v>7</v>
      </c>
      <c r="B10" s="1076" t="s">
        <v>1005</v>
      </c>
      <c r="C10" s="1078"/>
      <c r="D10" s="4"/>
      <c r="E10" s="4"/>
      <c r="F10" s="4"/>
      <c r="G10" s="1089"/>
      <c r="H10" s="1091"/>
      <c r="I10" s="4"/>
    </row>
    <row r="11" spans="1:9" ht="34.5" customHeight="1">
      <c r="A11" s="9">
        <v>8</v>
      </c>
      <c r="B11" s="1229" t="s">
        <v>1006</v>
      </c>
      <c r="C11" s="1230"/>
      <c r="D11" s="6"/>
      <c r="E11" s="6"/>
      <c r="F11" s="6"/>
      <c r="G11" s="1209"/>
      <c r="H11" s="1097"/>
      <c r="I11" s="6"/>
    </row>
    <row r="12" spans="1:9" ht="34.5" customHeight="1">
      <c r="A12" s="11">
        <v>9</v>
      </c>
      <c r="B12" s="1229" t="s">
        <v>1007</v>
      </c>
      <c r="C12" s="1230"/>
      <c r="D12" s="6"/>
      <c r="E12" s="6"/>
      <c r="F12" s="6"/>
      <c r="G12" s="1209"/>
      <c r="H12" s="1097"/>
      <c r="I12" s="6"/>
    </row>
    <row r="13" spans="1:9" ht="34.5" customHeight="1">
      <c r="A13" s="9">
        <v>10</v>
      </c>
      <c r="B13" s="1229" t="s">
        <v>1008</v>
      </c>
      <c r="C13" s="1230"/>
      <c r="D13" s="6"/>
      <c r="E13" s="6"/>
      <c r="F13" s="6"/>
      <c r="G13" s="1209"/>
      <c r="H13" s="1097"/>
      <c r="I13" s="6"/>
    </row>
    <row r="14" spans="1:9" ht="34.5" customHeight="1">
      <c r="A14" s="11">
        <v>11</v>
      </c>
      <c r="B14" s="1229" t="s">
        <v>1009</v>
      </c>
      <c r="C14" s="1230"/>
      <c r="D14" s="6"/>
      <c r="E14" s="6"/>
      <c r="F14" s="6"/>
      <c r="G14" s="1209"/>
      <c r="H14" s="1097"/>
      <c r="I14" s="6"/>
    </row>
    <row r="15" spans="1:9" ht="17.25" customHeight="1">
      <c r="A15" s="11">
        <v>12</v>
      </c>
      <c r="B15" s="1076" t="s">
        <v>1010</v>
      </c>
      <c r="C15" s="1078"/>
      <c r="D15" s="4"/>
      <c r="E15" s="4"/>
      <c r="F15" s="4"/>
      <c r="G15" s="1089"/>
      <c r="H15" s="1091"/>
      <c r="I15" s="4"/>
    </row>
    <row r="16" spans="1:9" ht="43.5" customHeight="1">
      <c r="A16" s="11">
        <v>13</v>
      </c>
      <c r="B16" s="1229" t="s">
        <v>1011</v>
      </c>
      <c r="C16" s="1230"/>
      <c r="D16" s="6"/>
      <c r="E16" s="6"/>
      <c r="F16" s="6"/>
      <c r="G16" s="1209"/>
      <c r="H16" s="1097"/>
      <c r="I16" s="6"/>
    </row>
    <row r="17" spans="1:9" ht="34.5" customHeight="1">
      <c r="A17" s="11">
        <v>14</v>
      </c>
      <c r="B17" s="1229" t="s">
        <v>1012</v>
      </c>
      <c r="C17" s="1230"/>
      <c r="D17" s="6"/>
      <c r="E17" s="6"/>
      <c r="F17" s="6"/>
      <c r="G17" s="1209"/>
      <c r="H17" s="1097"/>
      <c r="I17" s="6"/>
    </row>
    <row r="18" spans="1:10" ht="34.5" customHeight="1">
      <c r="A18" s="1505" t="s">
        <v>1013</v>
      </c>
      <c r="B18" s="1505"/>
      <c r="C18" s="1505"/>
      <c r="D18" s="1505"/>
      <c r="E18" s="1505"/>
      <c r="F18" s="1505"/>
      <c r="G18" s="1505"/>
      <c r="H18" s="1505"/>
      <c r="I18" s="1505"/>
      <c r="J18" s="1505"/>
    </row>
    <row r="19" spans="1:10" ht="17.25" customHeight="1">
      <c r="A19" s="1525" t="s">
        <v>137</v>
      </c>
      <c r="B19" s="1525"/>
      <c r="C19" s="1525"/>
      <c r="D19" s="1525"/>
      <c r="E19" s="1525"/>
      <c r="F19" s="1525"/>
      <c r="G19" s="1525"/>
      <c r="H19" s="1525"/>
      <c r="I19" s="1525"/>
      <c r="J19" s="1525"/>
    </row>
  </sheetData>
  <sheetProtection/>
  <mergeCells count="37">
    <mergeCell ref="B3:C3"/>
    <mergeCell ref="G3:H3"/>
    <mergeCell ref="A1:B1"/>
    <mergeCell ref="C1:G1"/>
    <mergeCell ref="H1:J1"/>
    <mergeCell ref="B2:C2"/>
    <mergeCell ref="G2:H2"/>
    <mergeCell ref="B8:C8"/>
    <mergeCell ref="G8:H8"/>
    <mergeCell ref="B7:C7"/>
    <mergeCell ref="G7:H7"/>
    <mergeCell ref="B4:C4"/>
    <mergeCell ref="G4:H4"/>
    <mergeCell ref="B5:C5"/>
    <mergeCell ref="G5:H5"/>
    <mergeCell ref="B6:C6"/>
    <mergeCell ref="G6:H6"/>
    <mergeCell ref="B9:C9"/>
    <mergeCell ref="G9:H9"/>
    <mergeCell ref="B11:C11"/>
    <mergeCell ref="G11:H11"/>
    <mergeCell ref="B10:C10"/>
    <mergeCell ref="G10:H10"/>
    <mergeCell ref="B12:C12"/>
    <mergeCell ref="G12:H12"/>
    <mergeCell ref="B14:C14"/>
    <mergeCell ref="G14:H14"/>
    <mergeCell ref="B13:C13"/>
    <mergeCell ref="G13:H13"/>
    <mergeCell ref="A18:J18"/>
    <mergeCell ref="A19:J19"/>
    <mergeCell ref="B15:C15"/>
    <mergeCell ref="G15:H15"/>
    <mergeCell ref="B16:C16"/>
    <mergeCell ref="G16:H16"/>
    <mergeCell ref="B17:C17"/>
    <mergeCell ref="G17:H17"/>
  </mergeCells>
  <printOptions/>
  <pageMargins left="0.7" right="0.7" top="0.75" bottom="0.75" header="0.3" footer="0.3"/>
  <pageSetup orientation="portrait" paperSize="9"/>
  <drawing r:id="rId1"/>
</worksheet>
</file>

<file path=xl/worksheets/sheet89.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H1"/>
    </sheetView>
  </sheetViews>
  <sheetFormatPr defaultColWidth="9.33203125" defaultRowHeight="12.75"/>
  <cols>
    <col min="1" max="1" width="10.5" style="0" customWidth="1"/>
    <col min="2" max="2" width="18.16015625" style="0" customWidth="1"/>
    <col min="3" max="3" width="13.33203125" style="0" customWidth="1"/>
    <col min="4" max="4" width="4.66015625" style="0" customWidth="1"/>
    <col min="5" max="5" width="20" style="0" customWidth="1"/>
    <col min="6" max="6" width="36.5" style="0" customWidth="1"/>
    <col min="7" max="7" width="22.83203125" style="0" customWidth="1"/>
    <col min="8" max="8" width="19.16015625" style="0" customWidth="1"/>
    <col min="9" max="9" width="29.33203125" style="0" customWidth="1"/>
  </cols>
  <sheetData>
    <row r="1" spans="1:9" ht="99" customHeight="1">
      <c r="A1" s="1536" t="s">
        <v>269</v>
      </c>
      <c r="B1" s="1536"/>
      <c r="C1" s="1536"/>
      <c r="D1" s="1382" t="s">
        <v>1014</v>
      </c>
      <c r="E1" s="1382"/>
      <c r="F1" s="1382"/>
      <c r="G1" s="1382"/>
      <c r="H1" s="1382"/>
      <c r="I1" s="41" t="s">
        <v>1015</v>
      </c>
    </row>
    <row r="2" spans="1:9" ht="34.5" customHeight="1">
      <c r="A2" s="1427" t="s">
        <v>1016</v>
      </c>
      <c r="B2" s="1427"/>
      <c r="C2" s="1427"/>
      <c r="D2" s="1427"/>
      <c r="E2" s="1427"/>
      <c r="F2" s="1427"/>
      <c r="G2" s="1427"/>
      <c r="H2" s="1427"/>
      <c r="I2" s="1427"/>
    </row>
    <row r="3" spans="1:9" ht="17.25" customHeight="1">
      <c r="A3" s="1537" t="s">
        <v>463</v>
      </c>
      <c r="B3" s="1537"/>
      <c r="C3" s="1537"/>
      <c r="D3" s="1537"/>
      <c r="E3" s="1537"/>
      <c r="F3" s="1537"/>
      <c r="G3" s="1537"/>
      <c r="H3" s="1537"/>
      <c r="I3" s="1537"/>
    </row>
    <row r="4" spans="1:8" ht="30" customHeight="1">
      <c r="A4" s="1442" t="s">
        <v>92</v>
      </c>
      <c r="B4" s="1456" t="s">
        <v>1017</v>
      </c>
      <c r="C4" s="1080" t="s">
        <v>1018</v>
      </c>
      <c r="D4" s="1081"/>
      <c r="E4" s="1081"/>
      <c r="F4" s="1081"/>
      <c r="G4" s="1082"/>
      <c r="H4" s="1494" t="s">
        <v>980</v>
      </c>
    </row>
    <row r="5" spans="1:8" ht="72.75" customHeight="1">
      <c r="A5" s="1443"/>
      <c r="B5" s="1458"/>
      <c r="C5" s="1534" t="s">
        <v>982</v>
      </c>
      <c r="D5" s="1535"/>
      <c r="E5" s="27" t="s">
        <v>1019</v>
      </c>
      <c r="F5" s="78" t="s">
        <v>984</v>
      </c>
      <c r="G5" s="65" t="s">
        <v>1020</v>
      </c>
      <c r="H5" s="1495"/>
    </row>
    <row r="6" spans="1:8" ht="17.25" customHeight="1">
      <c r="A6" s="11">
        <v>1</v>
      </c>
      <c r="B6" s="11">
        <v>2</v>
      </c>
      <c r="C6" s="1216">
        <v>3</v>
      </c>
      <c r="D6" s="1217"/>
      <c r="E6" s="11">
        <v>4</v>
      </c>
      <c r="F6" s="79" t="s">
        <v>1021</v>
      </c>
      <c r="G6" s="11">
        <v>6</v>
      </c>
      <c r="H6" s="11">
        <v>7</v>
      </c>
    </row>
    <row r="7" spans="1:8" ht="15.75" customHeight="1">
      <c r="A7" s="4"/>
      <c r="B7" s="4"/>
      <c r="C7" s="1089"/>
      <c r="D7" s="1091"/>
      <c r="E7" s="4"/>
      <c r="F7" s="4"/>
      <c r="G7" s="4"/>
      <c r="H7" s="4"/>
    </row>
    <row r="8" spans="1:8" ht="15.75" customHeight="1">
      <c r="A8" s="4"/>
      <c r="B8" s="4"/>
      <c r="C8" s="1089"/>
      <c r="D8" s="1091"/>
      <c r="E8" s="4"/>
      <c r="F8" s="4"/>
      <c r="G8" s="4"/>
      <c r="H8" s="4"/>
    </row>
    <row r="9" spans="1:9" ht="72" customHeight="1">
      <c r="A9" s="1235" t="s">
        <v>1022</v>
      </c>
      <c r="B9" s="1235"/>
      <c r="C9" s="1235"/>
      <c r="D9" s="1235"/>
      <c r="E9" s="1235"/>
      <c r="F9" s="1235"/>
      <c r="G9" s="1235"/>
      <c r="H9" s="1235"/>
      <c r="I9" s="1235"/>
    </row>
    <row r="10" spans="1:9" ht="17.25" customHeight="1">
      <c r="A10" s="1525" t="s">
        <v>137</v>
      </c>
      <c r="B10" s="1525"/>
      <c r="C10" s="1525"/>
      <c r="D10" s="1525"/>
      <c r="E10" s="1525"/>
      <c r="F10" s="1525"/>
      <c r="G10" s="1525"/>
      <c r="H10" s="1525"/>
      <c r="I10" s="1525"/>
    </row>
  </sheetData>
  <sheetProtection/>
  <mergeCells count="14">
    <mergeCell ref="C8:D8"/>
    <mergeCell ref="A9:I9"/>
    <mergeCell ref="A10:I10"/>
    <mergeCell ref="A1:C1"/>
    <mergeCell ref="D1:H1"/>
    <mergeCell ref="A2:I2"/>
    <mergeCell ref="A3:I3"/>
    <mergeCell ref="A4:A5"/>
    <mergeCell ref="B4:B5"/>
    <mergeCell ref="C4:G4"/>
    <mergeCell ref="H4:H5"/>
    <mergeCell ref="C5:D5"/>
    <mergeCell ref="C6:D6"/>
    <mergeCell ref="C7:D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C1:T14"/>
  <sheetViews>
    <sheetView view="pageBreakPreview" zoomScaleSheetLayoutView="100" zoomScalePageLayoutView="0" workbookViewId="0" topLeftCell="A1">
      <selection activeCell="B1" sqref="B1:K14"/>
    </sheetView>
  </sheetViews>
  <sheetFormatPr defaultColWidth="9.33203125" defaultRowHeight="12.75"/>
  <cols>
    <col min="1" max="2" width="9.33203125" style="90" customWidth="1"/>
    <col min="3" max="3" width="8" style="90" customWidth="1"/>
    <col min="4" max="5" width="9.33203125" style="90" customWidth="1"/>
    <col min="6" max="6" width="12.66015625" style="90" customWidth="1"/>
    <col min="7" max="16384" width="9.33203125" style="90" customWidth="1"/>
  </cols>
  <sheetData>
    <row r="1" s="198" customFormat="1" ht="12.75">
      <c r="J1" s="198" t="s">
        <v>1982</v>
      </c>
    </row>
    <row r="2" spans="3:6" s="198" customFormat="1" ht="12.75">
      <c r="C2" s="90" t="s">
        <v>1497</v>
      </c>
      <c r="F2" s="198" t="s">
        <v>1404</v>
      </c>
    </row>
    <row r="3" s="198" customFormat="1" ht="12.75">
      <c r="C3" s="201" t="s">
        <v>2028</v>
      </c>
    </row>
    <row r="4" s="198" customFormat="1" ht="12.75">
      <c r="C4" s="90" t="s">
        <v>1983</v>
      </c>
    </row>
    <row r="5" spans="3:20" s="198" customFormat="1" ht="63.75">
      <c r="C5" s="1005" t="s">
        <v>1400</v>
      </c>
      <c r="D5" s="1006" t="s">
        <v>1984</v>
      </c>
      <c r="E5" s="1006" t="s">
        <v>1985</v>
      </c>
      <c r="F5" s="1006" t="s">
        <v>1986</v>
      </c>
      <c r="G5" s="1006" t="s">
        <v>1987</v>
      </c>
      <c r="H5" s="1006" t="s">
        <v>1988</v>
      </c>
      <c r="I5" s="1006" t="s">
        <v>1989</v>
      </c>
      <c r="J5" s="1006" t="s">
        <v>1990</v>
      </c>
      <c r="L5" s="1007"/>
      <c r="M5" s="1007"/>
      <c r="O5" s="1007"/>
      <c r="P5" s="1007"/>
      <c r="R5" s="1007"/>
      <c r="T5" s="1007"/>
    </row>
    <row r="6" spans="3:10" s="198" customFormat="1" ht="25.5">
      <c r="C6" s="330"/>
      <c r="D6" s="330"/>
      <c r="E6" s="1008" t="s">
        <v>1991</v>
      </c>
      <c r="F6" s="1008"/>
      <c r="G6" s="1008" t="s">
        <v>1992</v>
      </c>
      <c r="H6" s="1008"/>
      <c r="I6" s="1008" t="s">
        <v>1993</v>
      </c>
      <c r="J6" s="330"/>
    </row>
    <row r="7" spans="3:10" s="198" customFormat="1" ht="12.75">
      <c r="C7" s="330"/>
      <c r="D7" s="330"/>
      <c r="E7" s="330"/>
      <c r="F7" s="330"/>
      <c r="G7" s="330"/>
      <c r="H7" s="330"/>
      <c r="I7" s="330"/>
      <c r="J7" s="330"/>
    </row>
    <row r="8" spans="3:10" ht="12.75">
      <c r="C8" s="225">
        <v>1</v>
      </c>
      <c r="D8" s="225">
        <v>2</v>
      </c>
      <c r="E8" s="225">
        <v>3</v>
      </c>
      <c r="F8" s="225">
        <v>4</v>
      </c>
      <c r="G8" s="225">
        <v>5</v>
      </c>
      <c r="H8" s="225">
        <v>6</v>
      </c>
      <c r="I8" s="225">
        <v>7</v>
      </c>
      <c r="J8" s="225">
        <v>8</v>
      </c>
    </row>
    <row r="9" spans="3:10" ht="12.75">
      <c r="C9" s="225"/>
      <c r="D9" s="225"/>
      <c r="E9" s="225"/>
      <c r="F9" s="225"/>
      <c r="G9" s="225"/>
      <c r="H9" s="225"/>
      <c r="I9" s="225"/>
      <c r="J9" s="225"/>
    </row>
    <row r="10" spans="3:10" ht="12.75">
      <c r="C10" s="225"/>
      <c r="D10" s="225"/>
      <c r="E10" s="225"/>
      <c r="F10" s="225"/>
      <c r="G10" s="225"/>
      <c r="H10" s="225"/>
      <c r="I10" s="225"/>
      <c r="J10" s="225"/>
    </row>
    <row r="11" spans="3:10" ht="12.75">
      <c r="C11" s="225"/>
      <c r="D11" s="225"/>
      <c r="E11" s="225"/>
      <c r="F11" s="1150" t="s">
        <v>1510</v>
      </c>
      <c r="G11" s="1151"/>
      <c r="H11" s="225"/>
      <c r="I11" s="225"/>
      <c r="J11" s="225"/>
    </row>
    <row r="12" spans="3:10" ht="12.75">
      <c r="C12" s="225"/>
      <c r="D12" s="225"/>
      <c r="E12" s="225"/>
      <c r="F12" s="1152"/>
      <c r="G12" s="1153"/>
      <c r="H12" s="225"/>
      <c r="I12" s="225"/>
      <c r="J12" s="225"/>
    </row>
    <row r="13" spans="3:10" ht="12.75">
      <c r="C13" s="225"/>
      <c r="D13" s="225"/>
      <c r="E13" s="225"/>
      <c r="F13" s="1152"/>
      <c r="G13" s="1153"/>
      <c r="H13" s="225"/>
      <c r="I13" s="225"/>
      <c r="J13" s="225"/>
    </row>
    <row r="14" spans="3:10" ht="12.75">
      <c r="C14" s="225"/>
      <c r="D14" s="225"/>
      <c r="E14" s="225"/>
      <c r="F14" s="1154"/>
      <c r="G14" s="1155"/>
      <c r="H14" s="225"/>
      <c r="I14" s="225"/>
      <c r="J14" s="225"/>
    </row>
  </sheetData>
  <sheetProtection/>
  <mergeCells count="1">
    <mergeCell ref="F11:G14"/>
  </mergeCells>
  <printOptions/>
  <pageMargins left="0.7480314960629921" right="0.7480314960629921" top="0.984251968503937" bottom="0.984251968503937" header="0.5118110236220472" footer="0.5118110236220472"/>
  <pageSetup horizontalDpi="600" verticalDpi="600" orientation="portrait" r:id="rId1"/>
</worksheet>
</file>

<file path=xl/worksheets/sheet90.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F1"/>
    </sheetView>
  </sheetViews>
  <sheetFormatPr defaultColWidth="9.33203125" defaultRowHeight="12.75"/>
  <cols>
    <col min="1" max="1" width="11.16015625" style="0" customWidth="1"/>
    <col min="2" max="2" width="44.16015625" style="0" customWidth="1"/>
    <col min="3" max="3" width="32.66015625" style="0" customWidth="1"/>
    <col min="4" max="4" width="17.33203125" style="0" customWidth="1"/>
    <col min="5" max="5" width="24.66015625" style="0" customWidth="1"/>
    <col min="6" max="6" width="7.83203125" style="0" customWidth="1"/>
    <col min="7" max="7" width="10.16015625" style="0" customWidth="1"/>
    <col min="8" max="8" width="26.5" style="0" customWidth="1"/>
  </cols>
  <sheetData>
    <row r="1" spans="1:8" ht="153.75" customHeight="1">
      <c r="A1" s="1533" t="s">
        <v>350</v>
      </c>
      <c r="B1" s="1533"/>
      <c r="C1" s="1538" t="s">
        <v>1023</v>
      </c>
      <c r="D1" s="1538"/>
      <c r="E1" s="1538"/>
      <c r="F1" s="1538"/>
      <c r="G1" s="1455" t="s">
        <v>1024</v>
      </c>
      <c r="H1" s="1455"/>
    </row>
    <row r="2" spans="1:8" ht="17.25" customHeight="1">
      <c r="A2" s="1539" t="s">
        <v>463</v>
      </c>
      <c r="B2" s="1539"/>
      <c r="C2" s="1539"/>
      <c r="D2" s="1539"/>
      <c r="E2" s="1539"/>
      <c r="F2" s="1539"/>
      <c r="G2" s="1539"/>
      <c r="H2" s="1539"/>
    </row>
    <row r="3" spans="1:7" ht="17.25" customHeight="1">
      <c r="A3" s="1494" t="s">
        <v>92</v>
      </c>
      <c r="B3" s="1540" t="s">
        <v>109</v>
      </c>
      <c r="C3" s="1541"/>
      <c r="D3" s="1544" t="s">
        <v>1025</v>
      </c>
      <c r="E3" s="1545"/>
      <c r="F3" s="1545"/>
      <c r="G3" s="1546"/>
    </row>
    <row r="4" spans="1:7" ht="34.5" customHeight="1">
      <c r="A4" s="1495"/>
      <c r="B4" s="1542"/>
      <c r="C4" s="1543"/>
      <c r="D4" s="33" t="s">
        <v>1026</v>
      </c>
      <c r="E4" s="27" t="s">
        <v>1027</v>
      </c>
      <c r="F4" s="1215" t="s">
        <v>1028</v>
      </c>
      <c r="G4" s="1100"/>
    </row>
    <row r="5" spans="1:7" ht="17.25" customHeight="1">
      <c r="A5" s="13" t="s">
        <v>1029</v>
      </c>
      <c r="B5" s="1224" t="s">
        <v>1030</v>
      </c>
      <c r="C5" s="1225"/>
      <c r="D5" s="4"/>
      <c r="E5" s="4"/>
      <c r="F5" s="1089"/>
      <c r="G5" s="1091"/>
    </row>
    <row r="6" spans="1:7" ht="17.25" customHeight="1">
      <c r="A6" s="4"/>
      <c r="B6" s="1224" t="s">
        <v>1031</v>
      </c>
      <c r="C6" s="1225"/>
      <c r="D6" s="4"/>
      <c r="E6" s="4"/>
      <c r="F6" s="1089"/>
      <c r="G6" s="1091"/>
    </row>
    <row r="7" spans="1:7" ht="17.25" customHeight="1">
      <c r="A7" s="4"/>
      <c r="B7" s="1224" t="s">
        <v>1032</v>
      </c>
      <c r="C7" s="1225"/>
      <c r="D7" s="4"/>
      <c r="E7" s="4"/>
      <c r="F7" s="1089"/>
      <c r="G7" s="1091"/>
    </row>
    <row r="8" spans="1:7" ht="17.25" customHeight="1">
      <c r="A8" s="4"/>
      <c r="B8" s="1224" t="s">
        <v>1033</v>
      </c>
      <c r="C8" s="1225"/>
      <c r="D8" s="4"/>
      <c r="E8" s="4"/>
      <c r="F8" s="1089"/>
      <c r="G8" s="1091"/>
    </row>
    <row r="9" spans="1:7" ht="17.25" customHeight="1">
      <c r="A9" s="4"/>
      <c r="B9" s="1224" t="s">
        <v>1034</v>
      </c>
      <c r="C9" s="1225"/>
      <c r="D9" s="4"/>
      <c r="E9" s="4"/>
      <c r="F9" s="1089"/>
      <c r="G9" s="1091"/>
    </row>
    <row r="10" spans="1:7" ht="17.25" customHeight="1">
      <c r="A10" s="4"/>
      <c r="B10" s="1224" t="s">
        <v>1035</v>
      </c>
      <c r="C10" s="1225"/>
      <c r="D10" s="4"/>
      <c r="E10" s="4"/>
      <c r="F10" s="1089"/>
      <c r="G10" s="1091"/>
    </row>
    <row r="11" spans="1:7" ht="15.75" customHeight="1">
      <c r="A11" s="4"/>
      <c r="B11" s="1089"/>
      <c r="C11" s="1091"/>
      <c r="D11" s="4"/>
      <c r="E11" s="4"/>
      <c r="F11" s="1089"/>
      <c r="G11" s="1091"/>
    </row>
    <row r="12" spans="1:7" ht="15.75" customHeight="1">
      <c r="A12" s="4"/>
      <c r="B12" s="1089"/>
      <c r="C12" s="1091"/>
      <c r="D12" s="4"/>
      <c r="E12" s="4"/>
      <c r="F12" s="1089"/>
      <c r="G12" s="1091"/>
    </row>
    <row r="13" spans="1:7" ht="35.25" customHeight="1">
      <c r="A13" s="56" t="s">
        <v>288</v>
      </c>
      <c r="B13" s="1229" t="s">
        <v>1036</v>
      </c>
      <c r="C13" s="1230"/>
      <c r="D13" s="6"/>
      <c r="E13" s="6"/>
      <c r="F13" s="1209"/>
      <c r="G13" s="1097"/>
    </row>
    <row r="14" spans="1:7" ht="17.25" customHeight="1">
      <c r="A14" s="4"/>
      <c r="B14" s="1224" t="s">
        <v>1037</v>
      </c>
      <c r="C14" s="1225"/>
      <c r="D14" s="4"/>
      <c r="E14" s="4"/>
      <c r="F14" s="1089"/>
      <c r="G14" s="1091"/>
    </row>
    <row r="15" spans="1:7" ht="17.25" customHeight="1">
      <c r="A15" s="4"/>
      <c r="B15" s="1224" t="s">
        <v>1038</v>
      </c>
      <c r="C15" s="1225"/>
      <c r="D15" s="4"/>
      <c r="E15" s="4"/>
      <c r="F15" s="1089"/>
      <c r="G15" s="1091"/>
    </row>
    <row r="16" spans="1:7" ht="17.25" customHeight="1">
      <c r="A16" s="4"/>
      <c r="B16" s="1224" t="s">
        <v>1039</v>
      </c>
      <c r="C16" s="1225"/>
      <c r="D16" s="4"/>
      <c r="E16" s="4"/>
      <c r="F16" s="1089"/>
      <c r="G16" s="1091"/>
    </row>
    <row r="17" spans="1:7" ht="17.25" customHeight="1">
      <c r="A17" s="4"/>
      <c r="B17" s="1224" t="s">
        <v>1040</v>
      </c>
      <c r="C17" s="1225"/>
      <c r="D17" s="4"/>
      <c r="E17" s="4"/>
      <c r="F17" s="1089"/>
      <c r="G17" s="1091"/>
    </row>
    <row r="18" spans="1:7" ht="17.25" customHeight="1">
      <c r="A18" s="4"/>
      <c r="B18" s="1224" t="s">
        <v>1041</v>
      </c>
      <c r="C18" s="1225"/>
      <c r="D18" s="4"/>
      <c r="E18" s="4"/>
      <c r="F18" s="1089"/>
      <c r="G18" s="1091"/>
    </row>
    <row r="19" spans="1:7" ht="15.75" customHeight="1">
      <c r="A19" s="4"/>
      <c r="B19" s="1089"/>
      <c r="C19" s="1091"/>
      <c r="D19" s="4"/>
      <c r="E19" s="4"/>
      <c r="F19" s="1089"/>
      <c r="G19" s="1091"/>
    </row>
    <row r="20" spans="1:7" ht="15.75" customHeight="1">
      <c r="A20" s="4"/>
      <c r="B20" s="1089"/>
      <c r="C20" s="1091"/>
      <c r="D20" s="4"/>
      <c r="E20" s="4"/>
      <c r="F20" s="1089"/>
      <c r="G20" s="1091"/>
    </row>
    <row r="21" spans="1:7" ht="35.25" customHeight="1">
      <c r="A21" s="56" t="s">
        <v>1042</v>
      </c>
      <c r="B21" s="1229" t="s">
        <v>1043</v>
      </c>
      <c r="C21" s="1230"/>
      <c r="D21" s="6"/>
      <c r="E21" s="6"/>
      <c r="F21" s="1209"/>
      <c r="G21" s="1097"/>
    </row>
    <row r="22" spans="1:7" ht="17.25" customHeight="1">
      <c r="A22" s="4"/>
      <c r="B22" s="1224" t="s">
        <v>1044</v>
      </c>
      <c r="C22" s="1225"/>
      <c r="D22" s="4"/>
      <c r="E22" s="4"/>
      <c r="F22" s="1089"/>
      <c r="G22" s="1091"/>
    </row>
    <row r="23" spans="1:7" ht="17.25" customHeight="1">
      <c r="A23" s="4"/>
      <c r="B23" s="1224" t="s">
        <v>1045</v>
      </c>
      <c r="C23" s="1225"/>
      <c r="D23" s="4"/>
      <c r="E23" s="4"/>
      <c r="F23" s="1089"/>
      <c r="G23" s="1091"/>
    </row>
    <row r="24" spans="1:7" ht="17.25" customHeight="1">
      <c r="A24" s="4"/>
      <c r="B24" s="1224" t="s">
        <v>1046</v>
      </c>
      <c r="C24" s="1225"/>
      <c r="D24" s="4"/>
      <c r="E24" s="4"/>
      <c r="F24" s="1089"/>
      <c r="G24" s="1091"/>
    </row>
    <row r="25" spans="1:7" ht="17.25" customHeight="1">
      <c r="A25" s="4"/>
      <c r="B25" s="1224" t="s">
        <v>1047</v>
      </c>
      <c r="C25" s="1225"/>
      <c r="D25" s="4"/>
      <c r="E25" s="4"/>
      <c r="F25" s="1089"/>
      <c r="G25" s="1091"/>
    </row>
    <row r="26" spans="1:7" ht="17.25" customHeight="1">
      <c r="A26" s="4"/>
      <c r="B26" s="1224" t="s">
        <v>1048</v>
      </c>
      <c r="C26" s="1225"/>
      <c r="D26" s="4"/>
      <c r="E26" s="4"/>
      <c r="F26" s="1089"/>
      <c r="G26" s="1091"/>
    </row>
    <row r="27" spans="1:7" ht="15.75" customHeight="1">
      <c r="A27" s="4"/>
      <c r="B27" s="1089"/>
      <c r="C27" s="1091"/>
      <c r="D27" s="4"/>
      <c r="E27" s="4"/>
      <c r="F27" s="1089"/>
      <c r="G27" s="1091"/>
    </row>
    <row r="28" spans="1:7" ht="15.75" customHeight="1">
      <c r="A28" s="4"/>
      <c r="B28" s="1089"/>
      <c r="C28" s="1091"/>
      <c r="D28" s="4"/>
      <c r="E28" s="4"/>
      <c r="F28" s="1089"/>
      <c r="G28" s="1091"/>
    </row>
    <row r="29" spans="1:7" ht="17.25" customHeight="1">
      <c r="A29" s="13" t="s">
        <v>1049</v>
      </c>
      <c r="B29" s="1224" t="s">
        <v>1050</v>
      </c>
      <c r="C29" s="1225"/>
      <c r="D29" s="4"/>
      <c r="E29" s="4"/>
      <c r="F29" s="1089"/>
      <c r="G29" s="1091"/>
    </row>
    <row r="30" spans="1:7" ht="17.25" customHeight="1">
      <c r="A30" s="4"/>
      <c r="B30" s="1224" t="s">
        <v>1051</v>
      </c>
      <c r="C30" s="1225"/>
      <c r="D30" s="4"/>
      <c r="E30" s="4"/>
      <c r="F30" s="1089"/>
      <c r="G30" s="1091"/>
    </row>
    <row r="31" spans="1:7" ht="17.25" customHeight="1">
      <c r="A31" s="4"/>
      <c r="B31" s="1224" t="s">
        <v>1052</v>
      </c>
      <c r="C31" s="1225"/>
      <c r="D31" s="4"/>
      <c r="E31" s="4"/>
      <c r="F31" s="1089"/>
      <c r="G31" s="1091"/>
    </row>
    <row r="32" spans="1:7" ht="17.25" customHeight="1">
      <c r="A32" s="4"/>
      <c r="B32" s="1224" t="s">
        <v>1053</v>
      </c>
      <c r="C32" s="1225"/>
      <c r="D32" s="4"/>
      <c r="E32" s="4"/>
      <c r="F32" s="1089"/>
      <c r="G32" s="1091"/>
    </row>
    <row r="33" spans="1:7" ht="17.25" customHeight="1">
      <c r="A33" s="4"/>
      <c r="B33" s="1224" t="s">
        <v>1054</v>
      </c>
      <c r="C33" s="1225"/>
      <c r="D33" s="4"/>
      <c r="E33" s="4"/>
      <c r="F33" s="1089"/>
      <c r="G33" s="1091"/>
    </row>
    <row r="34" spans="1:7" ht="17.25" customHeight="1">
      <c r="A34" s="4"/>
      <c r="B34" s="1224" t="s">
        <v>1055</v>
      </c>
      <c r="C34" s="1225"/>
      <c r="D34" s="4"/>
      <c r="E34" s="4"/>
      <c r="F34" s="1089"/>
      <c r="G34" s="1091"/>
    </row>
    <row r="35" spans="1:7" ht="15.75" customHeight="1">
      <c r="A35" s="4"/>
      <c r="B35" s="1089"/>
      <c r="C35" s="1091"/>
      <c r="D35" s="4"/>
      <c r="E35" s="4"/>
      <c r="F35" s="1089"/>
      <c r="G35" s="1091"/>
    </row>
    <row r="36" spans="1:7" ht="15.75" customHeight="1">
      <c r="A36" s="4"/>
      <c r="B36" s="1089"/>
      <c r="C36" s="1091"/>
      <c r="D36" s="4"/>
      <c r="E36" s="4"/>
      <c r="F36" s="1089"/>
      <c r="G36" s="1091"/>
    </row>
    <row r="37" spans="1:7" ht="17.25" customHeight="1">
      <c r="A37" s="13" t="s">
        <v>1056</v>
      </c>
      <c r="B37" s="1224" t="s">
        <v>1057</v>
      </c>
      <c r="C37" s="1225"/>
      <c r="D37" s="4"/>
      <c r="E37" s="4"/>
      <c r="F37" s="1089"/>
      <c r="G37" s="1091"/>
    </row>
    <row r="38" spans="1:7" ht="17.25" customHeight="1">
      <c r="A38" s="4"/>
      <c r="B38" s="1224" t="s">
        <v>1058</v>
      </c>
      <c r="C38" s="1225"/>
      <c r="D38" s="4"/>
      <c r="E38" s="4"/>
      <c r="F38" s="1089"/>
      <c r="G38" s="1091"/>
    </row>
    <row r="39" spans="1:7" ht="17.25" customHeight="1">
      <c r="A39" s="4"/>
      <c r="B39" s="1224" t="s">
        <v>1059</v>
      </c>
      <c r="C39" s="1225"/>
      <c r="D39" s="4"/>
      <c r="E39" s="4"/>
      <c r="F39" s="1089"/>
      <c r="G39" s="1091"/>
    </row>
    <row r="40" spans="1:7" ht="17.25" customHeight="1">
      <c r="A40" s="4"/>
      <c r="B40" s="1224" t="s">
        <v>1060</v>
      </c>
      <c r="C40" s="1225"/>
      <c r="D40" s="4"/>
      <c r="E40" s="4"/>
      <c r="F40" s="1089"/>
      <c r="G40" s="1091"/>
    </row>
    <row r="41" spans="1:7" ht="17.25" customHeight="1">
      <c r="A41" s="4"/>
      <c r="B41" s="1224" t="s">
        <v>1061</v>
      </c>
      <c r="C41" s="1225"/>
      <c r="D41" s="4"/>
      <c r="E41" s="4"/>
      <c r="F41" s="1089"/>
      <c r="G41" s="1091"/>
    </row>
    <row r="42" spans="1:7" ht="17.25" customHeight="1">
      <c r="A42" s="4"/>
      <c r="B42" s="1224" t="s">
        <v>1062</v>
      </c>
      <c r="C42" s="1225"/>
      <c r="D42" s="4"/>
      <c r="E42" s="4"/>
      <c r="F42" s="1089"/>
      <c r="G42" s="1091"/>
    </row>
    <row r="43" spans="1:7" ht="15.75" customHeight="1">
      <c r="A43" s="4"/>
      <c r="B43" s="1089"/>
      <c r="C43" s="1091"/>
      <c r="D43" s="4"/>
      <c r="E43" s="4"/>
      <c r="F43" s="1089"/>
      <c r="G43" s="1091"/>
    </row>
    <row r="44" spans="1:8" ht="34.5" customHeight="1">
      <c r="A44" s="1235" t="s">
        <v>1063</v>
      </c>
      <c r="B44" s="1235"/>
      <c r="C44" s="1235"/>
      <c r="D44" s="1235"/>
      <c r="E44" s="1235"/>
      <c r="F44" s="1235"/>
      <c r="G44" s="1235"/>
      <c r="H44" s="1235"/>
    </row>
    <row r="45" spans="1:8" ht="17.25" customHeight="1">
      <c r="A45" s="1252" t="s">
        <v>137</v>
      </c>
      <c r="B45" s="1252"/>
      <c r="C45" s="1252"/>
      <c r="D45" s="1252"/>
      <c r="E45" s="1252"/>
      <c r="F45" s="1252"/>
      <c r="G45" s="1252"/>
      <c r="H45" s="1252"/>
    </row>
  </sheetData>
  <sheetProtection/>
  <mergeCells count="88">
    <mergeCell ref="A1:B1"/>
    <mergeCell ref="C1:F1"/>
    <mergeCell ref="G1:H1"/>
    <mergeCell ref="A2:H2"/>
    <mergeCell ref="A3:A4"/>
    <mergeCell ref="B3:C4"/>
    <mergeCell ref="D3:G3"/>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A44:H44"/>
    <mergeCell ref="A45:H45"/>
    <mergeCell ref="B41:C41"/>
    <mergeCell ref="F41:G41"/>
    <mergeCell ref="B42:C42"/>
    <mergeCell ref="F42:G42"/>
    <mergeCell ref="B43:C43"/>
    <mergeCell ref="F43:G43"/>
  </mergeCells>
  <printOptions/>
  <pageMargins left="0.7" right="0.7" top="0.75" bottom="0.75" header="0.3" footer="0.3"/>
  <pageSetup orientation="portrait" paperSize="9"/>
  <drawing r:id="rId1"/>
</worksheet>
</file>

<file path=xl/worksheets/sheet91.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F1"/>
    </sheetView>
  </sheetViews>
  <sheetFormatPr defaultColWidth="9.33203125" defaultRowHeight="12.75"/>
  <cols>
    <col min="1" max="1" width="11.16015625" style="0" customWidth="1"/>
    <col min="2" max="2" width="44.16015625" style="0" customWidth="1"/>
    <col min="3" max="3" width="32.66015625" style="0" customWidth="1"/>
    <col min="4" max="4" width="17.33203125" style="0" customWidth="1"/>
    <col min="5" max="5" width="24.66015625" style="0" customWidth="1"/>
    <col min="6" max="6" width="7.16015625" style="0" customWidth="1"/>
    <col min="7" max="7" width="10.83203125" style="0" customWidth="1"/>
    <col min="8" max="8" width="26.66015625" style="0" customWidth="1"/>
  </cols>
  <sheetData>
    <row r="1" spans="1:8" ht="138.75" customHeight="1">
      <c r="A1" s="1235" t="s">
        <v>350</v>
      </c>
      <c r="B1" s="1235"/>
      <c r="C1" s="1538" t="s">
        <v>1064</v>
      </c>
      <c r="D1" s="1538"/>
      <c r="E1" s="1538"/>
      <c r="F1" s="1538"/>
      <c r="G1" s="1532" t="s">
        <v>1065</v>
      </c>
      <c r="H1" s="1532"/>
    </row>
    <row r="2" spans="1:8" ht="17.25" customHeight="1">
      <c r="A2" s="1547" t="s">
        <v>463</v>
      </c>
      <c r="B2" s="1547"/>
      <c r="C2" s="1547"/>
      <c r="D2" s="1547"/>
      <c r="E2" s="1547"/>
      <c r="F2" s="1547"/>
      <c r="G2" s="1547"/>
      <c r="H2" s="1547"/>
    </row>
    <row r="3" spans="1:7" ht="17.25" customHeight="1">
      <c r="A3" s="1494" t="s">
        <v>92</v>
      </c>
      <c r="B3" s="1540" t="s">
        <v>109</v>
      </c>
      <c r="C3" s="1541"/>
      <c r="D3" s="1544" t="s">
        <v>1025</v>
      </c>
      <c r="E3" s="1545"/>
      <c r="F3" s="1545"/>
      <c r="G3" s="1546"/>
    </row>
    <row r="4" spans="1:7" ht="34.5" customHeight="1">
      <c r="A4" s="1495"/>
      <c r="B4" s="1542"/>
      <c r="C4" s="1543"/>
      <c r="D4" s="33" t="s">
        <v>1026</v>
      </c>
      <c r="E4" s="27" t="s">
        <v>1027</v>
      </c>
      <c r="F4" s="1215" t="s">
        <v>1028</v>
      </c>
      <c r="G4" s="1100"/>
    </row>
    <row r="5" spans="1:7" ht="17.25" customHeight="1">
      <c r="A5" s="13" t="s">
        <v>1029</v>
      </c>
      <c r="B5" s="1224" t="s">
        <v>1066</v>
      </c>
      <c r="C5" s="1225"/>
      <c r="D5" s="4"/>
      <c r="E5" s="4"/>
      <c r="F5" s="1089"/>
      <c r="G5" s="1091"/>
    </row>
    <row r="6" spans="1:7" ht="17.25" customHeight="1">
      <c r="A6" s="4"/>
      <c r="B6" s="1224" t="s">
        <v>1031</v>
      </c>
      <c r="C6" s="1225"/>
      <c r="D6" s="4"/>
      <c r="E6" s="4"/>
      <c r="F6" s="1089"/>
      <c r="G6" s="1091"/>
    </row>
    <row r="7" spans="1:7" ht="17.25" customHeight="1">
      <c r="A7" s="4"/>
      <c r="B7" s="1224" t="s">
        <v>1032</v>
      </c>
      <c r="C7" s="1225"/>
      <c r="D7" s="4"/>
      <c r="E7" s="4"/>
      <c r="F7" s="1089"/>
      <c r="G7" s="1091"/>
    </row>
    <row r="8" spans="1:7" ht="17.25" customHeight="1">
      <c r="A8" s="4"/>
      <c r="B8" s="1224" t="s">
        <v>1033</v>
      </c>
      <c r="C8" s="1225"/>
      <c r="D8" s="4"/>
      <c r="E8" s="4"/>
      <c r="F8" s="1089"/>
      <c r="G8" s="1091"/>
    </row>
    <row r="9" spans="1:7" ht="17.25" customHeight="1">
      <c r="A9" s="4"/>
      <c r="B9" s="1224" t="s">
        <v>1034</v>
      </c>
      <c r="C9" s="1225"/>
      <c r="D9" s="4"/>
      <c r="E9" s="4"/>
      <c r="F9" s="1089"/>
      <c r="G9" s="1091"/>
    </row>
    <row r="10" spans="1:7" ht="17.25" customHeight="1">
      <c r="A10" s="4"/>
      <c r="B10" s="1224" t="s">
        <v>1035</v>
      </c>
      <c r="C10" s="1225"/>
      <c r="D10" s="4"/>
      <c r="E10" s="4"/>
      <c r="F10" s="1089"/>
      <c r="G10" s="1091"/>
    </row>
    <row r="11" spans="1:7" ht="15.75" customHeight="1">
      <c r="A11" s="4"/>
      <c r="B11" s="1089"/>
      <c r="C11" s="1091"/>
      <c r="D11" s="4"/>
      <c r="E11" s="4"/>
      <c r="F11" s="1089"/>
      <c r="G11" s="1091"/>
    </row>
    <row r="12" spans="1:7" ht="15.75" customHeight="1">
      <c r="A12" s="4"/>
      <c r="B12" s="1089"/>
      <c r="C12" s="1091"/>
      <c r="D12" s="4"/>
      <c r="E12" s="4"/>
      <c r="F12" s="1089"/>
      <c r="G12" s="1091"/>
    </row>
    <row r="13" spans="1:7" ht="17.25" customHeight="1">
      <c r="A13" s="13" t="s">
        <v>288</v>
      </c>
      <c r="B13" s="1224" t="s">
        <v>1067</v>
      </c>
      <c r="C13" s="1225"/>
      <c r="D13" s="4"/>
      <c r="E13" s="4"/>
      <c r="F13" s="1089"/>
      <c r="G13" s="1091"/>
    </row>
    <row r="14" spans="1:7" ht="17.25" customHeight="1">
      <c r="A14" s="4"/>
      <c r="B14" s="1224" t="s">
        <v>1037</v>
      </c>
      <c r="C14" s="1225"/>
      <c r="D14" s="4"/>
      <c r="E14" s="4"/>
      <c r="F14" s="1089"/>
      <c r="G14" s="1091"/>
    </row>
    <row r="15" spans="1:7" ht="17.25" customHeight="1">
      <c r="A15" s="4"/>
      <c r="B15" s="1224" t="s">
        <v>1038</v>
      </c>
      <c r="C15" s="1225"/>
      <c r="D15" s="4"/>
      <c r="E15" s="4"/>
      <c r="F15" s="1089"/>
      <c r="G15" s="1091"/>
    </row>
    <row r="16" spans="1:7" ht="17.25" customHeight="1">
      <c r="A16" s="4"/>
      <c r="B16" s="1224" t="s">
        <v>1039</v>
      </c>
      <c r="C16" s="1225"/>
      <c r="D16" s="4"/>
      <c r="E16" s="4"/>
      <c r="F16" s="1089"/>
      <c r="G16" s="1091"/>
    </row>
    <row r="17" spans="1:7" ht="17.25" customHeight="1">
      <c r="A17" s="4"/>
      <c r="B17" s="1224" t="s">
        <v>1040</v>
      </c>
      <c r="C17" s="1225"/>
      <c r="D17" s="4"/>
      <c r="E17" s="4"/>
      <c r="F17" s="1089"/>
      <c r="G17" s="1091"/>
    </row>
    <row r="18" spans="1:7" ht="17.25" customHeight="1">
      <c r="A18" s="4"/>
      <c r="B18" s="1224" t="s">
        <v>1041</v>
      </c>
      <c r="C18" s="1225"/>
      <c r="D18" s="4"/>
      <c r="E18" s="4"/>
      <c r="F18" s="1089"/>
      <c r="G18" s="1091"/>
    </row>
    <row r="19" spans="1:7" ht="15.75" customHeight="1">
      <c r="A19" s="4"/>
      <c r="B19" s="1089"/>
      <c r="C19" s="1091"/>
      <c r="D19" s="4"/>
      <c r="E19" s="4"/>
      <c r="F19" s="1089"/>
      <c r="G19" s="1091"/>
    </row>
    <row r="20" spans="1:7" ht="15.75" customHeight="1">
      <c r="A20" s="4"/>
      <c r="B20" s="1089"/>
      <c r="C20" s="1091"/>
      <c r="D20" s="4"/>
      <c r="E20" s="4"/>
      <c r="F20" s="1089"/>
      <c r="G20" s="1091"/>
    </row>
    <row r="21" spans="1:7" ht="17.25" customHeight="1">
      <c r="A21" s="13" t="s">
        <v>1042</v>
      </c>
      <c r="B21" s="1224" t="s">
        <v>1068</v>
      </c>
      <c r="C21" s="1225"/>
      <c r="D21" s="4"/>
      <c r="E21" s="4"/>
      <c r="F21" s="1089"/>
      <c r="G21" s="1091"/>
    </row>
    <row r="22" spans="1:7" ht="17.25" customHeight="1">
      <c r="A22" s="4"/>
      <c r="B22" s="1224" t="s">
        <v>1044</v>
      </c>
      <c r="C22" s="1225"/>
      <c r="D22" s="4"/>
      <c r="E22" s="4"/>
      <c r="F22" s="1089"/>
      <c r="G22" s="1091"/>
    </row>
    <row r="23" spans="1:7" ht="17.25" customHeight="1">
      <c r="A23" s="4"/>
      <c r="B23" s="1224" t="s">
        <v>1045</v>
      </c>
      <c r="C23" s="1225"/>
      <c r="D23" s="4"/>
      <c r="E23" s="4"/>
      <c r="F23" s="1089"/>
      <c r="G23" s="1091"/>
    </row>
    <row r="24" spans="1:7" ht="17.25" customHeight="1">
      <c r="A24" s="4"/>
      <c r="B24" s="1224" t="s">
        <v>1046</v>
      </c>
      <c r="C24" s="1225"/>
      <c r="D24" s="4"/>
      <c r="E24" s="4"/>
      <c r="F24" s="1089"/>
      <c r="G24" s="1091"/>
    </row>
    <row r="25" spans="1:7" ht="17.25" customHeight="1">
      <c r="A25" s="4"/>
      <c r="B25" s="1224" t="s">
        <v>1047</v>
      </c>
      <c r="C25" s="1225"/>
      <c r="D25" s="4"/>
      <c r="E25" s="4"/>
      <c r="F25" s="1089"/>
      <c r="G25" s="1091"/>
    </row>
    <row r="26" spans="1:7" ht="17.25" customHeight="1">
      <c r="A26" s="4"/>
      <c r="B26" s="1224" t="s">
        <v>1048</v>
      </c>
      <c r="C26" s="1225"/>
      <c r="D26" s="4"/>
      <c r="E26" s="4"/>
      <c r="F26" s="1089"/>
      <c r="G26" s="1091"/>
    </row>
    <row r="27" spans="1:7" ht="15.75" customHeight="1">
      <c r="A27" s="4"/>
      <c r="B27" s="1089"/>
      <c r="C27" s="1091"/>
      <c r="D27" s="4"/>
      <c r="E27" s="4"/>
      <c r="F27" s="1089"/>
      <c r="G27" s="1091"/>
    </row>
    <row r="28" spans="1:7" ht="15.75" customHeight="1">
      <c r="A28" s="4"/>
      <c r="B28" s="1089"/>
      <c r="C28" s="1091"/>
      <c r="D28" s="4"/>
      <c r="E28" s="4"/>
      <c r="F28" s="1089"/>
      <c r="G28" s="1091"/>
    </row>
    <row r="29" spans="1:7" ht="17.25" customHeight="1">
      <c r="A29" s="13" t="s">
        <v>1049</v>
      </c>
      <c r="B29" s="1224" t="s">
        <v>1069</v>
      </c>
      <c r="C29" s="1225"/>
      <c r="D29" s="4"/>
      <c r="E29" s="4"/>
      <c r="F29" s="1089"/>
      <c r="G29" s="1091"/>
    </row>
    <row r="30" spans="1:7" ht="17.25" customHeight="1">
      <c r="A30" s="4"/>
      <c r="B30" s="1224" t="s">
        <v>1051</v>
      </c>
      <c r="C30" s="1225"/>
      <c r="D30" s="4"/>
      <c r="E30" s="4"/>
      <c r="F30" s="1089"/>
      <c r="G30" s="1091"/>
    </row>
    <row r="31" spans="1:7" ht="17.25" customHeight="1">
      <c r="A31" s="4"/>
      <c r="B31" s="1224" t="s">
        <v>1052</v>
      </c>
      <c r="C31" s="1225"/>
      <c r="D31" s="4"/>
      <c r="E31" s="4"/>
      <c r="F31" s="1089"/>
      <c r="G31" s="1091"/>
    </row>
    <row r="32" spans="1:7" ht="17.25" customHeight="1">
      <c r="A32" s="4"/>
      <c r="B32" s="1224" t="s">
        <v>1053</v>
      </c>
      <c r="C32" s="1225"/>
      <c r="D32" s="4"/>
      <c r="E32" s="4"/>
      <c r="F32" s="1089"/>
      <c r="G32" s="1091"/>
    </row>
    <row r="33" spans="1:7" ht="17.25" customHeight="1">
      <c r="A33" s="4"/>
      <c r="B33" s="1224" t="s">
        <v>1054</v>
      </c>
      <c r="C33" s="1225"/>
      <c r="D33" s="4"/>
      <c r="E33" s="4"/>
      <c r="F33" s="1089"/>
      <c r="G33" s="1091"/>
    </row>
    <row r="34" spans="1:7" ht="17.25" customHeight="1">
      <c r="A34" s="4"/>
      <c r="B34" s="1224" t="s">
        <v>1055</v>
      </c>
      <c r="C34" s="1225"/>
      <c r="D34" s="4"/>
      <c r="E34" s="4"/>
      <c r="F34" s="1089"/>
      <c r="G34" s="1091"/>
    </row>
    <row r="35" spans="1:7" ht="15.75" customHeight="1">
      <c r="A35" s="4"/>
      <c r="B35" s="1089"/>
      <c r="C35" s="1091"/>
      <c r="D35" s="4"/>
      <c r="E35" s="4"/>
      <c r="F35" s="1089"/>
      <c r="G35" s="1091"/>
    </row>
    <row r="36" spans="1:7" ht="15.75" customHeight="1">
      <c r="A36" s="4"/>
      <c r="B36" s="1089"/>
      <c r="C36" s="1091"/>
      <c r="D36" s="4"/>
      <c r="E36" s="4"/>
      <c r="F36" s="1089"/>
      <c r="G36" s="1091"/>
    </row>
    <row r="37" spans="1:7" ht="17.25" customHeight="1">
      <c r="A37" s="13" t="s">
        <v>1056</v>
      </c>
      <c r="B37" s="1224" t="s">
        <v>1070</v>
      </c>
      <c r="C37" s="1225"/>
      <c r="D37" s="4"/>
      <c r="E37" s="4"/>
      <c r="F37" s="1089"/>
      <c r="G37" s="1091"/>
    </row>
    <row r="38" spans="1:7" ht="17.25" customHeight="1">
      <c r="A38" s="4"/>
      <c r="B38" s="1224" t="s">
        <v>1058</v>
      </c>
      <c r="C38" s="1225"/>
      <c r="D38" s="4"/>
      <c r="E38" s="4"/>
      <c r="F38" s="1089"/>
      <c r="G38" s="1091"/>
    </row>
    <row r="39" spans="1:7" ht="17.25" customHeight="1">
      <c r="A39" s="4"/>
      <c r="B39" s="1224" t="s">
        <v>1059</v>
      </c>
      <c r="C39" s="1225"/>
      <c r="D39" s="4"/>
      <c r="E39" s="4"/>
      <c r="F39" s="1089"/>
      <c r="G39" s="1091"/>
    </row>
    <row r="40" spans="1:7" ht="17.25" customHeight="1">
      <c r="A40" s="4"/>
      <c r="B40" s="1224" t="s">
        <v>1060</v>
      </c>
      <c r="C40" s="1225"/>
      <c r="D40" s="4"/>
      <c r="E40" s="4"/>
      <c r="F40" s="1089"/>
      <c r="G40" s="1091"/>
    </row>
    <row r="41" spans="1:7" ht="17.25" customHeight="1">
      <c r="A41" s="4"/>
      <c r="B41" s="1224" t="s">
        <v>1061</v>
      </c>
      <c r="C41" s="1225"/>
      <c r="D41" s="4"/>
      <c r="E41" s="4"/>
      <c r="F41" s="1089"/>
      <c r="G41" s="1091"/>
    </row>
    <row r="42" spans="1:7" ht="17.25" customHeight="1">
      <c r="A42" s="4"/>
      <c r="B42" s="1224" t="s">
        <v>1062</v>
      </c>
      <c r="C42" s="1225"/>
      <c r="D42" s="4"/>
      <c r="E42" s="4"/>
      <c r="F42" s="1089"/>
      <c r="G42" s="1091"/>
    </row>
    <row r="43" spans="1:7" ht="15.75" customHeight="1">
      <c r="A43" s="4"/>
      <c r="B43" s="1089"/>
      <c r="C43" s="1091"/>
      <c r="D43" s="4"/>
      <c r="E43" s="4"/>
      <c r="F43" s="1089"/>
      <c r="G43" s="1091"/>
    </row>
    <row r="44" spans="1:8" ht="34.5" customHeight="1">
      <c r="A44" s="1235" t="s">
        <v>1063</v>
      </c>
      <c r="B44" s="1235"/>
      <c r="C44" s="1235"/>
      <c r="D44" s="1235"/>
      <c r="E44" s="1235"/>
      <c r="F44" s="1235"/>
      <c r="G44" s="1235"/>
      <c r="H44" s="1235"/>
    </row>
    <row r="45" spans="1:8" ht="17.25" customHeight="1">
      <c r="A45" s="1252" t="s">
        <v>137</v>
      </c>
      <c r="B45" s="1252"/>
      <c r="C45" s="1252"/>
      <c r="D45" s="1252"/>
      <c r="E45" s="1252"/>
      <c r="F45" s="1252"/>
      <c r="G45" s="1252"/>
      <c r="H45" s="1252"/>
    </row>
  </sheetData>
  <sheetProtection/>
  <mergeCells count="88">
    <mergeCell ref="A1:B1"/>
    <mergeCell ref="C1:F1"/>
    <mergeCell ref="G1:H1"/>
    <mergeCell ref="A2:H2"/>
    <mergeCell ref="A3:A4"/>
    <mergeCell ref="B3:C4"/>
    <mergeCell ref="D3:G3"/>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A44:H44"/>
    <mergeCell ref="A45:H45"/>
    <mergeCell ref="B41:C41"/>
    <mergeCell ref="F41:G41"/>
    <mergeCell ref="B42:C42"/>
    <mergeCell ref="F42:G42"/>
    <mergeCell ref="B43:C43"/>
    <mergeCell ref="F43:G43"/>
  </mergeCells>
  <printOptions/>
  <pageMargins left="0.7" right="0.7" top="0.75" bottom="0.75" header="0.3" footer="0.3"/>
  <pageSetup orientation="portrait" paperSize="9"/>
  <drawing r:id="rId1"/>
</worksheet>
</file>

<file path=xl/worksheets/sheet92.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H1"/>
    </sheetView>
  </sheetViews>
  <sheetFormatPr defaultColWidth="9.33203125" defaultRowHeight="12.75"/>
  <cols>
    <col min="1" max="1" width="11.16015625" style="0" customWidth="1"/>
    <col min="2" max="2" width="40.66015625" style="0" customWidth="1"/>
    <col min="3" max="3" width="11.33203125" style="0" customWidth="1"/>
    <col min="4" max="4" width="14.66015625" style="0" customWidth="1"/>
    <col min="5" max="6" width="14.83203125" style="0" customWidth="1"/>
    <col min="7" max="8" width="14.66015625" style="0" customWidth="1"/>
    <col min="9" max="9" width="15.16015625" style="0" customWidth="1"/>
    <col min="10" max="10" width="22.5" style="0" customWidth="1"/>
  </cols>
  <sheetData>
    <row r="1" spans="1:10" ht="73.5" customHeight="1">
      <c r="A1" s="1412" t="s">
        <v>350</v>
      </c>
      <c r="B1" s="1412"/>
      <c r="C1" s="1549" t="s">
        <v>1071</v>
      </c>
      <c r="D1" s="1549"/>
      <c r="E1" s="1549"/>
      <c r="F1" s="1549"/>
      <c r="G1" s="1549"/>
      <c r="H1" s="1549"/>
      <c r="I1" s="1550" t="s">
        <v>1072</v>
      </c>
      <c r="J1" s="1550"/>
    </row>
    <row r="2" spans="1:10" ht="17.25" customHeight="1">
      <c r="A2" s="1551" t="s">
        <v>434</v>
      </c>
      <c r="B2" s="1551"/>
      <c r="C2" s="1551"/>
      <c r="D2" s="1551"/>
      <c r="E2" s="1551"/>
      <c r="F2" s="1551"/>
      <c r="G2" s="1551"/>
      <c r="H2" s="1551"/>
      <c r="I2" s="1551"/>
      <c r="J2" s="1551"/>
    </row>
    <row r="3" spans="1:9" ht="34.5" customHeight="1">
      <c r="A3" s="8" t="s">
        <v>92</v>
      </c>
      <c r="B3" s="1080" t="s">
        <v>109</v>
      </c>
      <c r="C3" s="1082"/>
      <c r="D3" s="25" t="s">
        <v>111</v>
      </c>
      <c r="E3" s="2" t="s">
        <v>112</v>
      </c>
      <c r="F3" s="2" t="s">
        <v>113</v>
      </c>
      <c r="G3" s="2" t="s">
        <v>114</v>
      </c>
      <c r="H3" s="2" t="s">
        <v>115</v>
      </c>
      <c r="I3" s="2" t="s">
        <v>116</v>
      </c>
    </row>
    <row r="4" spans="1:9" ht="17.25" customHeight="1">
      <c r="A4" s="11">
        <v>1</v>
      </c>
      <c r="B4" s="1216">
        <v>2</v>
      </c>
      <c r="C4" s="1217"/>
      <c r="D4" s="11">
        <v>3</v>
      </c>
      <c r="E4" s="11">
        <v>4</v>
      </c>
      <c r="F4" s="11">
        <v>5</v>
      </c>
      <c r="G4" s="11">
        <v>6</v>
      </c>
      <c r="H4" s="11">
        <v>7</v>
      </c>
      <c r="I4" s="11">
        <v>8</v>
      </c>
    </row>
    <row r="5" spans="1:9" ht="17.25" customHeight="1">
      <c r="A5" s="9">
        <v>1</v>
      </c>
      <c r="B5" s="1224" t="s">
        <v>1073</v>
      </c>
      <c r="C5" s="1225"/>
      <c r="D5" s="4"/>
      <c r="E5" s="4"/>
      <c r="F5" s="4"/>
      <c r="G5" s="4"/>
      <c r="H5" s="4"/>
      <c r="I5" s="4"/>
    </row>
    <row r="6" spans="1:9" ht="34.5" customHeight="1">
      <c r="A6" s="9">
        <v>2</v>
      </c>
      <c r="B6" s="1229" t="s">
        <v>1074</v>
      </c>
      <c r="C6" s="1230"/>
      <c r="D6" s="6"/>
      <c r="E6" s="6"/>
      <c r="F6" s="6"/>
      <c r="G6" s="6"/>
      <c r="H6" s="6"/>
      <c r="I6" s="6"/>
    </row>
    <row r="7" spans="1:9" ht="17.25" customHeight="1">
      <c r="A7" s="11">
        <v>3</v>
      </c>
      <c r="B7" s="1076" t="s">
        <v>1075</v>
      </c>
      <c r="C7" s="1078"/>
      <c r="D7" s="4"/>
      <c r="E7" s="4"/>
      <c r="F7" s="4"/>
      <c r="G7" s="4"/>
      <c r="H7" s="4"/>
      <c r="I7" s="4"/>
    </row>
    <row r="8" spans="1:9" ht="34.5" customHeight="1">
      <c r="A8" s="9">
        <v>4</v>
      </c>
      <c r="B8" s="1229" t="s">
        <v>1076</v>
      </c>
      <c r="C8" s="1230"/>
      <c r="D8" s="6"/>
      <c r="E8" s="6"/>
      <c r="F8" s="6"/>
      <c r="G8" s="6"/>
      <c r="H8" s="6"/>
      <c r="I8" s="6"/>
    </row>
    <row r="9" spans="1:9" ht="34.5" customHeight="1">
      <c r="A9" s="9">
        <v>5</v>
      </c>
      <c r="B9" s="1229" t="s">
        <v>1077</v>
      </c>
      <c r="C9" s="1230"/>
      <c r="D9" s="6"/>
      <c r="E9" s="6"/>
      <c r="F9" s="6"/>
      <c r="G9" s="6"/>
      <c r="H9" s="6"/>
      <c r="I9" s="6"/>
    </row>
    <row r="10" spans="1:9" ht="34.5" customHeight="1">
      <c r="A10" s="9">
        <v>6</v>
      </c>
      <c r="B10" s="1229" t="s">
        <v>1078</v>
      </c>
      <c r="C10" s="1230"/>
      <c r="D10" s="6"/>
      <c r="E10" s="6"/>
      <c r="F10" s="6"/>
      <c r="G10" s="6"/>
      <c r="H10" s="6"/>
      <c r="I10" s="6"/>
    </row>
    <row r="11" spans="1:9" ht="34.5" customHeight="1">
      <c r="A11" s="11">
        <v>7</v>
      </c>
      <c r="B11" s="1229" t="s">
        <v>1079</v>
      </c>
      <c r="C11" s="1230"/>
      <c r="D11" s="6"/>
      <c r="E11" s="6"/>
      <c r="F11" s="6"/>
      <c r="G11" s="6"/>
      <c r="H11" s="6"/>
      <c r="I11" s="6"/>
    </row>
    <row r="12" spans="1:9" ht="17.25" customHeight="1">
      <c r="A12" s="11">
        <v>8</v>
      </c>
      <c r="B12" s="1076" t="s">
        <v>1080</v>
      </c>
      <c r="C12" s="1078"/>
      <c r="D12" s="4"/>
      <c r="E12" s="4"/>
      <c r="F12" s="4"/>
      <c r="G12" s="4"/>
      <c r="H12" s="4"/>
      <c r="I12" s="4"/>
    </row>
    <row r="13" spans="1:9" ht="17.25" customHeight="1">
      <c r="A13" s="11">
        <v>9</v>
      </c>
      <c r="B13" s="1076" t="s">
        <v>1081</v>
      </c>
      <c r="C13" s="1078"/>
      <c r="D13" s="4"/>
      <c r="E13" s="4"/>
      <c r="F13" s="4"/>
      <c r="G13" s="4"/>
      <c r="H13" s="4"/>
      <c r="I13" s="4"/>
    </row>
    <row r="14" spans="1:9" ht="17.25" customHeight="1">
      <c r="A14" s="9">
        <v>10</v>
      </c>
      <c r="B14" s="1224" t="s">
        <v>1082</v>
      </c>
      <c r="C14" s="1225"/>
      <c r="D14" s="4"/>
      <c r="E14" s="4"/>
      <c r="F14" s="4"/>
      <c r="G14" s="4"/>
      <c r="H14" s="4"/>
      <c r="I14" s="4"/>
    </row>
    <row r="15" spans="1:9" ht="17.25" customHeight="1">
      <c r="A15" s="11">
        <v>11</v>
      </c>
      <c r="B15" s="1076" t="s">
        <v>1083</v>
      </c>
      <c r="C15" s="1078"/>
      <c r="D15" s="4"/>
      <c r="E15" s="4"/>
      <c r="F15" s="4"/>
      <c r="G15" s="4"/>
      <c r="H15" s="4"/>
      <c r="I15" s="4"/>
    </row>
    <row r="16" spans="1:10" ht="17.25" customHeight="1">
      <c r="A16" s="1548" t="s">
        <v>137</v>
      </c>
      <c r="B16" s="1548"/>
      <c r="C16" s="1548"/>
      <c r="D16" s="1548"/>
      <c r="E16" s="1548"/>
      <c r="F16" s="1548"/>
      <c r="G16" s="1548"/>
      <c r="H16" s="1548"/>
      <c r="I16" s="1548"/>
      <c r="J16" s="1548"/>
    </row>
  </sheetData>
  <sheetProtection/>
  <mergeCells count="18">
    <mergeCell ref="B15:C15"/>
    <mergeCell ref="A1:B1"/>
    <mergeCell ref="C1:H1"/>
    <mergeCell ref="I1:J1"/>
    <mergeCell ref="A2:J2"/>
    <mergeCell ref="B3:C3"/>
    <mergeCell ref="B5:C5"/>
    <mergeCell ref="B4:C4"/>
    <mergeCell ref="B6:C6"/>
    <mergeCell ref="B7:C7"/>
    <mergeCell ref="B8:C8"/>
    <mergeCell ref="B14:C14"/>
    <mergeCell ref="A16:J16"/>
    <mergeCell ref="B9:C9"/>
    <mergeCell ref="B10:C10"/>
    <mergeCell ref="B11:C11"/>
    <mergeCell ref="B12:C12"/>
    <mergeCell ref="B13:C13"/>
  </mergeCells>
  <printOptions/>
  <pageMargins left="0.7" right="0.7" top="0.75" bottom="0.75" header="0.3" footer="0.3"/>
  <pageSetup orientation="portrait" paperSize="9"/>
  <drawing r:id="rId1"/>
</worksheet>
</file>

<file path=xl/worksheets/sheet93.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F1"/>
    </sheetView>
  </sheetViews>
  <sheetFormatPr defaultColWidth="9.33203125" defaultRowHeight="12.75"/>
  <cols>
    <col min="1" max="1" width="6.83203125" style="0" customWidth="1"/>
    <col min="2" max="2" width="41.16015625" style="0" customWidth="1"/>
    <col min="3" max="3" width="14" style="0" customWidth="1"/>
    <col min="4" max="5" width="12.83203125" style="0" customWidth="1"/>
    <col min="6" max="6" width="11.83203125" style="0" customWidth="1"/>
    <col min="7" max="7" width="0.82421875" style="0" customWidth="1"/>
    <col min="8" max="9" width="12.83203125" style="0" customWidth="1"/>
    <col min="10" max="10" width="2.5" style="0" customWidth="1"/>
  </cols>
  <sheetData>
    <row r="1" spans="1:10" ht="42.75" customHeight="1">
      <c r="A1" s="1552" t="s">
        <v>1084</v>
      </c>
      <c r="B1" s="1552"/>
      <c r="C1" s="1552"/>
      <c r="D1" s="1552"/>
      <c r="E1" s="1552"/>
      <c r="F1" s="1552"/>
      <c r="G1" s="1201" t="s">
        <v>1085</v>
      </c>
      <c r="H1" s="1201"/>
      <c r="I1" s="1201"/>
      <c r="J1" s="1201"/>
    </row>
    <row r="2" spans="1:10" ht="34.5" customHeight="1">
      <c r="A2" s="1198" t="s">
        <v>433</v>
      </c>
      <c r="B2" s="1198"/>
      <c r="C2" s="1198"/>
      <c r="D2" s="1198"/>
      <c r="E2" s="1198"/>
      <c r="F2" s="1198"/>
      <c r="G2" s="1198"/>
      <c r="H2" s="1198"/>
      <c r="I2" s="1198"/>
      <c r="J2" s="1198"/>
    </row>
    <row r="3" spans="1:10" ht="17.25" customHeight="1">
      <c r="A3" s="1202" t="s">
        <v>434</v>
      </c>
      <c r="B3" s="1202"/>
      <c r="C3" s="1202"/>
      <c r="D3" s="1202"/>
      <c r="E3" s="1202"/>
      <c r="F3" s="1202"/>
      <c r="G3" s="1202"/>
      <c r="H3" s="1202"/>
      <c r="I3" s="1202"/>
      <c r="J3" s="1202"/>
    </row>
    <row r="4" spans="1:9" ht="36.75" customHeight="1">
      <c r="A4" s="5" t="s">
        <v>273</v>
      </c>
      <c r="B4" s="2" t="s">
        <v>109</v>
      </c>
      <c r="C4" s="8" t="s">
        <v>1086</v>
      </c>
      <c r="D4" s="2" t="s">
        <v>112</v>
      </c>
      <c r="E4" s="2" t="s">
        <v>113</v>
      </c>
      <c r="F4" s="1080" t="s">
        <v>114</v>
      </c>
      <c r="G4" s="1082"/>
      <c r="H4" s="2" t="s">
        <v>115</v>
      </c>
      <c r="I4" s="2" t="s">
        <v>116</v>
      </c>
    </row>
    <row r="5" spans="1:9" ht="17.25" customHeight="1">
      <c r="A5" s="80">
        <v>1</v>
      </c>
      <c r="B5" s="11">
        <v>2</v>
      </c>
      <c r="C5" s="11">
        <v>3</v>
      </c>
      <c r="D5" s="11">
        <v>4</v>
      </c>
      <c r="E5" s="11">
        <v>5</v>
      </c>
      <c r="F5" s="1216">
        <v>6</v>
      </c>
      <c r="G5" s="1217"/>
      <c r="H5" s="11">
        <v>7</v>
      </c>
      <c r="I5" s="11">
        <v>8</v>
      </c>
    </row>
    <row r="6" spans="1:9" ht="17.25" customHeight="1">
      <c r="A6" s="68">
        <v>1</v>
      </c>
      <c r="B6" s="5" t="s">
        <v>1087</v>
      </c>
      <c r="C6" s="4"/>
      <c r="D6" s="4"/>
      <c r="E6" s="4"/>
      <c r="F6" s="1089"/>
      <c r="G6" s="1091"/>
      <c r="H6" s="4"/>
      <c r="I6" s="4"/>
    </row>
    <row r="7" spans="1:9" ht="34.5" customHeight="1">
      <c r="A7" s="68">
        <v>2</v>
      </c>
      <c r="B7" s="5" t="s">
        <v>1088</v>
      </c>
      <c r="C7" s="6"/>
      <c r="D7" s="6"/>
      <c r="E7" s="6"/>
      <c r="F7" s="1209"/>
      <c r="G7" s="1097"/>
      <c r="H7" s="6"/>
      <c r="I7" s="6"/>
    </row>
    <row r="8" spans="1:9" ht="17.25" customHeight="1">
      <c r="A8" s="68">
        <v>3</v>
      </c>
      <c r="B8" s="5" t="s">
        <v>1089</v>
      </c>
      <c r="C8" s="4"/>
      <c r="D8" s="4"/>
      <c r="E8" s="4"/>
      <c r="F8" s="1089"/>
      <c r="G8" s="1091"/>
      <c r="H8" s="4"/>
      <c r="I8" s="4"/>
    </row>
    <row r="9" spans="1:9" ht="17.25" customHeight="1">
      <c r="A9" s="68">
        <v>4</v>
      </c>
      <c r="B9" s="5" t="s">
        <v>1090</v>
      </c>
      <c r="C9" s="4"/>
      <c r="D9" s="4"/>
      <c r="E9" s="4"/>
      <c r="F9" s="1089"/>
      <c r="G9" s="1091"/>
      <c r="H9" s="4"/>
      <c r="I9" s="4"/>
    </row>
    <row r="10" spans="1:9" ht="17.25" customHeight="1">
      <c r="A10" s="68">
        <v>5</v>
      </c>
      <c r="B10" s="3" t="s">
        <v>1091</v>
      </c>
      <c r="C10" s="4"/>
      <c r="D10" s="4"/>
      <c r="E10" s="4"/>
      <c r="F10" s="1089"/>
      <c r="G10" s="1091"/>
      <c r="H10" s="4"/>
      <c r="I10" s="4"/>
    </row>
    <row r="11" spans="1:9" ht="17.25" customHeight="1">
      <c r="A11" s="68">
        <v>6</v>
      </c>
      <c r="B11" s="3" t="s">
        <v>1092</v>
      </c>
      <c r="C11" s="4"/>
      <c r="D11" s="4"/>
      <c r="E11" s="4"/>
      <c r="F11" s="1089"/>
      <c r="G11" s="1091"/>
      <c r="H11" s="4"/>
      <c r="I11" s="4"/>
    </row>
    <row r="12" spans="1:9" ht="17.25" customHeight="1">
      <c r="A12" s="68">
        <v>7</v>
      </c>
      <c r="B12" s="3" t="s">
        <v>1093</v>
      </c>
      <c r="C12" s="4"/>
      <c r="D12" s="4"/>
      <c r="E12" s="4"/>
      <c r="F12" s="1089"/>
      <c r="G12" s="1091"/>
      <c r="H12" s="4"/>
      <c r="I12" s="4"/>
    </row>
    <row r="13" spans="1:9" ht="17.25" customHeight="1">
      <c r="A13" s="68">
        <v>8</v>
      </c>
      <c r="B13" s="3" t="s">
        <v>1094</v>
      </c>
      <c r="C13" s="4"/>
      <c r="D13" s="4"/>
      <c r="E13" s="4"/>
      <c r="F13" s="1089"/>
      <c r="G13" s="1091"/>
      <c r="H13" s="4"/>
      <c r="I13" s="4"/>
    </row>
    <row r="14" spans="1:9" ht="17.25" customHeight="1">
      <c r="A14" s="68">
        <v>9</v>
      </c>
      <c r="B14" s="3" t="s">
        <v>1095</v>
      </c>
      <c r="C14" s="4"/>
      <c r="D14" s="4"/>
      <c r="E14" s="4"/>
      <c r="F14" s="1089"/>
      <c r="G14" s="1091"/>
      <c r="H14" s="4"/>
      <c r="I14" s="4"/>
    </row>
    <row r="15" spans="1:9" ht="20.25" customHeight="1">
      <c r="A15" s="68">
        <v>10</v>
      </c>
      <c r="B15" s="3" t="s">
        <v>121</v>
      </c>
      <c r="C15" s="4"/>
      <c r="D15" s="4"/>
      <c r="E15" s="4"/>
      <c r="F15" s="1089"/>
      <c r="G15" s="1091"/>
      <c r="H15" s="4"/>
      <c r="I15" s="4"/>
    </row>
    <row r="16" spans="1:10" ht="72" customHeight="1">
      <c r="A16" s="1198" t="s">
        <v>1096</v>
      </c>
      <c r="B16" s="1198"/>
      <c r="C16" s="1198"/>
      <c r="D16" s="1198"/>
      <c r="E16" s="1198"/>
      <c r="F16" s="1198"/>
      <c r="G16" s="1198"/>
      <c r="H16" s="1198"/>
      <c r="I16" s="1198"/>
      <c r="J16" s="1198"/>
    </row>
    <row r="17" spans="1:10" ht="17.25" customHeight="1">
      <c r="A17" s="1199" t="s">
        <v>137</v>
      </c>
      <c r="B17" s="1199"/>
      <c r="C17" s="1199"/>
      <c r="D17" s="1199"/>
      <c r="E17" s="1199"/>
      <c r="F17" s="1199"/>
      <c r="G17" s="1199"/>
      <c r="H17" s="1199"/>
      <c r="I17" s="1199"/>
      <c r="J17" s="1199"/>
    </row>
  </sheetData>
  <sheetProtection/>
  <mergeCells count="18">
    <mergeCell ref="A16:J16"/>
    <mergeCell ref="A1:F1"/>
    <mergeCell ref="G1:J1"/>
    <mergeCell ref="A2:J2"/>
    <mergeCell ref="A3:J3"/>
    <mergeCell ref="F4:G4"/>
    <mergeCell ref="F6:G6"/>
    <mergeCell ref="F5:G5"/>
    <mergeCell ref="F7:G7"/>
    <mergeCell ref="F8:G8"/>
    <mergeCell ref="F9:G9"/>
    <mergeCell ref="F15:G15"/>
    <mergeCell ref="A17:J17"/>
    <mergeCell ref="F10:G10"/>
    <mergeCell ref="F11:G11"/>
    <mergeCell ref="F12:G12"/>
    <mergeCell ref="F13:G13"/>
    <mergeCell ref="F14:G14"/>
  </mergeCells>
  <printOptions horizontalCentered="1" verticalCentered="1"/>
  <pageMargins left="0.3" right="0.16" top="0.75" bottom="0.75" header="0.3" footer="0.3"/>
  <pageSetup horizontalDpi="600" verticalDpi="600" orientation="landscape" r:id="rId1"/>
</worksheet>
</file>

<file path=xl/worksheets/sheet94.xml><?xml version="1.0" encoding="utf-8"?>
<worksheet xmlns="http://schemas.openxmlformats.org/spreadsheetml/2006/main" xmlns:r="http://schemas.openxmlformats.org/officeDocument/2006/relationships">
  <dimension ref="A1:F23"/>
  <sheetViews>
    <sheetView zoomScalePageLayoutView="0" workbookViewId="0" topLeftCell="A4">
      <selection activeCell="A1" sqref="A1:E1"/>
    </sheetView>
  </sheetViews>
  <sheetFormatPr defaultColWidth="9.33203125" defaultRowHeight="12.75"/>
  <cols>
    <col min="1" max="1" width="7.33203125" style="0" customWidth="1"/>
    <col min="2" max="2" width="42.5" style="0" customWidth="1"/>
    <col min="3" max="3" width="26.5" style="0" customWidth="1"/>
    <col min="4" max="4" width="31.83203125" style="0" customWidth="1"/>
    <col min="5" max="5" width="0.82421875" style="0" customWidth="1"/>
    <col min="6" max="6" width="20.16015625" style="0" customWidth="1"/>
  </cols>
  <sheetData>
    <row r="1" spans="1:6" ht="42.75" customHeight="1">
      <c r="A1" s="1553" t="s">
        <v>1097</v>
      </c>
      <c r="B1" s="1553"/>
      <c r="C1" s="1553"/>
      <c r="D1" s="1553"/>
      <c r="E1" s="1553"/>
      <c r="F1" s="70" t="s">
        <v>1098</v>
      </c>
    </row>
    <row r="2" spans="1:6" ht="34.5" customHeight="1">
      <c r="A2" s="1235" t="s">
        <v>174</v>
      </c>
      <c r="B2" s="1235"/>
      <c r="C2" s="1235"/>
      <c r="D2" s="1235"/>
      <c r="E2" s="1235"/>
      <c r="F2" s="1235"/>
    </row>
    <row r="3" spans="1:6" ht="17.25" customHeight="1">
      <c r="A3" s="1554" t="s">
        <v>463</v>
      </c>
      <c r="B3" s="1554"/>
      <c r="C3" s="1554"/>
      <c r="D3" s="1554"/>
      <c r="E3" s="1554"/>
      <c r="F3" s="1554"/>
    </row>
    <row r="4" spans="1:4" ht="34.5" customHeight="1">
      <c r="A4" s="27" t="s">
        <v>273</v>
      </c>
      <c r="B4" s="81" t="s">
        <v>617</v>
      </c>
      <c r="C4" s="8" t="s">
        <v>1099</v>
      </c>
      <c r="D4" s="1" t="s">
        <v>1100</v>
      </c>
    </row>
    <row r="5" spans="1:4" ht="17.25" customHeight="1">
      <c r="A5" s="82" t="s">
        <v>1029</v>
      </c>
      <c r="B5" s="3" t="s">
        <v>1101</v>
      </c>
      <c r="C5" s="4"/>
      <c r="D5" s="4"/>
    </row>
    <row r="6" spans="1:4" ht="17.25" customHeight="1">
      <c r="A6" s="83">
        <v>1</v>
      </c>
      <c r="B6" s="3" t="s">
        <v>1102</v>
      </c>
      <c r="C6" s="4"/>
      <c r="D6" s="4"/>
    </row>
    <row r="7" spans="1:4" ht="17.25" customHeight="1">
      <c r="A7" s="83">
        <v>2</v>
      </c>
      <c r="B7" s="3" t="s">
        <v>1103</v>
      </c>
      <c r="C7" s="4"/>
      <c r="D7" s="4"/>
    </row>
    <row r="8" spans="1:4" ht="17.25" customHeight="1">
      <c r="A8" s="83">
        <v>3</v>
      </c>
      <c r="B8" s="3" t="s">
        <v>1104</v>
      </c>
      <c r="C8" s="4"/>
      <c r="D8" s="4"/>
    </row>
    <row r="9" spans="1:4" ht="18.75" customHeight="1">
      <c r="A9" s="83">
        <v>4</v>
      </c>
      <c r="B9" s="3" t="s">
        <v>1105</v>
      </c>
      <c r="C9" s="4"/>
      <c r="D9" s="4"/>
    </row>
    <row r="10" spans="1:4" ht="17.25" customHeight="1">
      <c r="A10" s="83">
        <v>5</v>
      </c>
      <c r="B10" s="3" t="s">
        <v>1106</v>
      </c>
      <c r="C10" s="4"/>
      <c r="D10" s="4"/>
    </row>
    <row r="11" spans="1:4" ht="21" customHeight="1">
      <c r="A11" s="83">
        <v>6</v>
      </c>
      <c r="B11" s="3" t="s">
        <v>117</v>
      </c>
      <c r="C11" s="4"/>
      <c r="D11" s="4"/>
    </row>
    <row r="12" spans="1:4" ht="34.5" customHeight="1">
      <c r="A12" s="83">
        <v>7</v>
      </c>
      <c r="B12" s="5" t="s">
        <v>1107</v>
      </c>
      <c r="C12" s="6"/>
      <c r="D12" s="6"/>
    </row>
    <row r="13" spans="1:4" ht="21" customHeight="1">
      <c r="A13" s="83">
        <v>8</v>
      </c>
      <c r="B13" s="3" t="s">
        <v>1108</v>
      </c>
      <c r="C13" s="4"/>
      <c r="D13" s="4"/>
    </row>
    <row r="14" spans="1:4" ht="21" customHeight="1">
      <c r="A14" s="83">
        <v>9</v>
      </c>
      <c r="B14" s="3" t="s">
        <v>1109</v>
      </c>
      <c r="C14" s="4"/>
      <c r="D14" s="4"/>
    </row>
    <row r="15" spans="1:4" ht="21" customHeight="1">
      <c r="A15" s="82" t="s">
        <v>639</v>
      </c>
      <c r="B15" s="3" t="s">
        <v>1110</v>
      </c>
      <c r="C15" s="4"/>
      <c r="D15" s="4"/>
    </row>
    <row r="16" spans="1:4" ht="21" customHeight="1">
      <c r="A16" s="82" t="s">
        <v>639</v>
      </c>
      <c r="B16" s="3" t="s">
        <v>1110</v>
      </c>
      <c r="C16" s="4"/>
      <c r="D16" s="4"/>
    </row>
    <row r="17" spans="1:4" ht="21" customHeight="1">
      <c r="A17" s="82" t="s">
        <v>288</v>
      </c>
      <c r="B17" s="3" t="s">
        <v>1111</v>
      </c>
      <c r="C17" s="4"/>
      <c r="D17" s="4"/>
    </row>
    <row r="18" spans="1:4" ht="34.5" customHeight="1">
      <c r="A18" s="6"/>
      <c r="B18" s="5" t="s">
        <v>1112</v>
      </c>
      <c r="C18" s="6"/>
      <c r="D18" s="6"/>
    </row>
    <row r="19" spans="1:4" ht="21" customHeight="1">
      <c r="A19" s="4"/>
      <c r="B19" s="3" t="s">
        <v>1113</v>
      </c>
      <c r="C19" s="4"/>
      <c r="D19" s="4"/>
    </row>
    <row r="20" spans="1:4" ht="34.5" customHeight="1">
      <c r="A20" s="6"/>
      <c r="B20" s="5" t="s">
        <v>1114</v>
      </c>
      <c r="C20" s="6"/>
      <c r="D20" s="6"/>
    </row>
    <row r="21" spans="1:4" ht="21" customHeight="1">
      <c r="A21" s="4"/>
      <c r="B21" s="3" t="s">
        <v>1115</v>
      </c>
      <c r="C21" s="4"/>
      <c r="D21" s="4"/>
    </row>
    <row r="22" spans="1:4" ht="21" customHeight="1">
      <c r="A22" s="4"/>
      <c r="B22" s="3" t="s">
        <v>1116</v>
      </c>
      <c r="C22" s="4"/>
      <c r="D22" s="4"/>
    </row>
    <row r="23" spans="1:6" ht="17.25" customHeight="1">
      <c r="A23" s="1555" t="s">
        <v>137</v>
      </c>
      <c r="B23" s="1555"/>
      <c r="C23" s="1555"/>
      <c r="D23" s="1555"/>
      <c r="E23" s="1555"/>
      <c r="F23" s="1555"/>
    </row>
  </sheetData>
  <sheetProtection/>
  <mergeCells count="4">
    <mergeCell ref="A1:E1"/>
    <mergeCell ref="A2:F2"/>
    <mergeCell ref="A3:F3"/>
    <mergeCell ref="A23:F23"/>
  </mergeCells>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E1"/>
    </sheetView>
  </sheetViews>
  <sheetFormatPr defaultColWidth="9.33203125" defaultRowHeight="12.75"/>
  <cols>
    <col min="1" max="1" width="7.33203125" style="0" customWidth="1"/>
    <col min="2" max="2" width="42.5" style="0" customWidth="1"/>
    <col min="3" max="3" width="24" style="0" customWidth="1"/>
    <col min="4" max="4" width="35.16015625" style="0" customWidth="1"/>
    <col min="5" max="5" width="20.66015625" style="0" customWidth="1"/>
  </cols>
  <sheetData>
    <row r="1" spans="1:5" ht="31.5" customHeight="1">
      <c r="A1" s="1199" t="s">
        <v>1117</v>
      </c>
      <c r="B1" s="1199"/>
      <c r="C1" s="1199"/>
      <c r="D1" s="1199"/>
      <c r="E1" s="1199"/>
    </row>
    <row r="2" spans="1:5" ht="17.25" customHeight="1">
      <c r="A2" s="1556" t="s">
        <v>1118</v>
      </c>
      <c r="B2" s="1556"/>
      <c r="C2" s="1556"/>
      <c r="D2" s="1556"/>
      <c r="E2" s="1556"/>
    </row>
    <row r="3" spans="1:5" ht="34.5" customHeight="1">
      <c r="A3" s="1198" t="s">
        <v>174</v>
      </c>
      <c r="B3" s="1198"/>
      <c r="C3" s="1198"/>
      <c r="D3" s="1198"/>
      <c r="E3" s="1198"/>
    </row>
    <row r="4" spans="1:5" ht="17.25" customHeight="1">
      <c r="A4" s="1557" t="s">
        <v>463</v>
      </c>
      <c r="B4" s="1557"/>
      <c r="C4" s="1557"/>
      <c r="D4" s="1557"/>
      <c r="E4" s="1557"/>
    </row>
    <row r="5" spans="1:4" ht="34.5" customHeight="1">
      <c r="A5" s="27" t="s">
        <v>273</v>
      </c>
      <c r="B5" s="81" t="s">
        <v>617</v>
      </c>
      <c r="C5" s="27" t="s">
        <v>1119</v>
      </c>
      <c r="D5" s="27" t="s">
        <v>1120</v>
      </c>
    </row>
    <row r="6" spans="1:4" ht="30" customHeight="1">
      <c r="A6" s="9">
        <v>1</v>
      </c>
      <c r="B6" s="3" t="s">
        <v>1121</v>
      </c>
      <c r="C6" s="6"/>
      <c r="D6" s="6"/>
    </row>
    <row r="7" spans="1:4" ht="30.75" customHeight="1">
      <c r="A7" s="9">
        <v>2</v>
      </c>
      <c r="B7" s="3" t="s">
        <v>1122</v>
      </c>
      <c r="C7" s="6"/>
      <c r="D7" s="6"/>
    </row>
    <row r="8" spans="1:4" ht="30.75" customHeight="1">
      <c r="A8" s="9">
        <v>3</v>
      </c>
      <c r="B8" s="3" t="s">
        <v>1123</v>
      </c>
      <c r="C8" s="6"/>
      <c r="D8" s="6"/>
    </row>
    <row r="9" spans="1:4" ht="30.75" customHeight="1">
      <c r="A9" s="9">
        <v>4</v>
      </c>
      <c r="B9" s="6"/>
      <c r="C9" s="6"/>
      <c r="D9" s="6"/>
    </row>
    <row r="10" spans="1:4" ht="31.5" customHeight="1">
      <c r="A10" s="9">
        <v>5</v>
      </c>
      <c r="B10" s="6"/>
      <c r="C10" s="6"/>
      <c r="D10" s="6"/>
    </row>
    <row r="11" spans="1:4" ht="21" customHeight="1">
      <c r="A11" s="9">
        <v>6</v>
      </c>
      <c r="B11" s="4"/>
      <c r="C11" s="4"/>
      <c r="D11" s="4"/>
    </row>
    <row r="12" spans="1:5" ht="17.25" customHeight="1">
      <c r="A12" s="1548" t="s">
        <v>137</v>
      </c>
      <c r="B12" s="1548"/>
      <c r="C12" s="1548"/>
      <c r="D12" s="1548"/>
      <c r="E12" s="1548"/>
    </row>
  </sheetData>
  <sheetProtection/>
  <mergeCells count="5">
    <mergeCell ref="A1:E1"/>
    <mergeCell ref="A2:E2"/>
    <mergeCell ref="A3:E3"/>
    <mergeCell ref="A4:E4"/>
    <mergeCell ref="A12:E12"/>
  </mergeCells>
  <printOptions/>
  <pageMargins left="0.7" right="0.7" top="0.75" bottom="0.75" header="0.3" footer="0.3"/>
  <pageSetup orientation="portrait" paperSize="9"/>
  <drawing r:id="rId1"/>
</worksheet>
</file>

<file path=xl/worksheets/sheet96.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D1"/>
    </sheetView>
  </sheetViews>
  <sheetFormatPr defaultColWidth="9.33203125" defaultRowHeight="12.75"/>
  <cols>
    <col min="1" max="1" width="45.83203125" style="0" customWidth="1"/>
    <col min="2" max="3" width="18" style="0" customWidth="1"/>
    <col min="4" max="4" width="12" style="0" customWidth="1"/>
    <col min="5" max="5" width="5.5" style="0" customWidth="1"/>
    <col min="6" max="6" width="20.16015625" style="0" customWidth="1"/>
    <col min="7" max="7" width="9.33203125" style="0" customWidth="1"/>
  </cols>
  <sheetData>
    <row r="1" spans="1:7" ht="42.75" customHeight="1">
      <c r="A1" s="1558" t="s">
        <v>1124</v>
      </c>
      <c r="B1" s="1558"/>
      <c r="C1" s="1558"/>
      <c r="D1" s="1558"/>
      <c r="E1" s="1383" t="s">
        <v>1125</v>
      </c>
      <c r="F1" s="1383"/>
      <c r="G1" s="1383"/>
    </row>
    <row r="2" spans="1:7" ht="34.5" customHeight="1">
      <c r="A2" s="1198" t="s">
        <v>433</v>
      </c>
      <c r="B2" s="1198"/>
      <c r="C2" s="1198"/>
      <c r="D2" s="1198"/>
      <c r="E2" s="1198"/>
      <c r="F2" s="1198"/>
      <c r="G2" s="1198"/>
    </row>
    <row r="3" spans="1:7" ht="17.25" customHeight="1">
      <c r="A3" s="1202" t="s">
        <v>463</v>
      </c>
      <c r="B3" s="1202"/>
      <c r="C3" s="1202"/>
      <c r="D3" s="1202"/>
      <c r="E3" s="1202"/>
      <c r="F3" s="1202"/>
      <c r="G3" s="1202"/>
    </row>
    <row r="4" spans="1:6" ht="34.5" customHeight="1">
      <c r="A4" s="2" t="s">
        <v>109</v>
      </c>
      <c r="B4" s="7" t="s">
        <v>1126</v>
      </c>
      <c r="C4" s="8" t="s">
        <v>1127</v>
      </c>
      <c r="D4" s="1215" t="s">
        <v>1128</v>
      </c>
      <c r="E4" s="1100"/>
      <c r="F4" s="27" t="s">
        <v>1129</v>
      </c>
    </row>
    <row r="5" spans="1:6" ht="27.75" customHeight="1">
      <c r="A5" s="3" t="s">
        <v>1130</v>
      </c>
      <c r="B5" s="6"/>
      <c r="C5" s="6"/>
      <c r="D5" s="1209"/>
      <c r="E5" s="1097"/>
      <c r="F5" s="6"/>
    </row>
    <row r="6" spans="1:6" ht="27" customHeight="1">
      <c r="A6" s="3" t="s">
        <v>1131</v>
      </c>
      <c r="B6" s="6"/>
      <c r="C6" s="6"/>
      <c r="D6" s="1209"/>
      <c r="E6" s="1097"/>
      <c r="F6" s="6"/>
    </row>
    <row r="7" spans="1:6" ht="27" customHeight="1">
      <c r="A7" s="3" t="s">
        <v>1132</v>
      </c>
      <c r="B7" s="6"/>
      <c r="C7" s="6"/>
      <c r="D7" s="1209"/>
      <c r="E7" s="1097"/>
      <c r="F7" s="6"/>
    </row>
    <row r="8" spans="1:6" ht="45" customHeight="1">
      <c r="A8" s="3" t="s">
        <v>1133</v>
      </c>
      <c r="B8" s="6"/>
      <c r="C8" s="6"/>
      <c r="D8" s="1209"/>
      <c r="E8" s="1097"/>
      <c r="F8" s="6"/>
    </row>
    <row r="9" spans="1:6" ht="27" customHeight="1">
      <c r="A9" s="3" t="s">
        <v>1134</v>
      </c>
      <c r="B9" s="6"/>
      <c r="C9" s="6"/>
      <c r="D9" s="1209"/>
      <c r="E9" s="1097"/>
      <c r="F9" s="6"/>
    </row>
    <row r="10" spans="1:6" ht="43.5" customHeight="1">
      <c r="A10" s="1" t="s">
        <v>1135</v>
      </c>
      <c r="B10" s="6"/>
      <c r="C10" s="6"/>
      <c r="D10" s="1209"/>
      <c r="E10" s="1097"/>
      <c r="F10" s="6"/>
    </row>
    <row r="11" spans="1:6" ht="27" customHeight="1">
      <c r="A11" s="1" t="s">
        <v>1136</v>
      </c>
      <c r="B11" s="6"/>
      <c r="C11" s="6"/>
      <c r="D11" s="1209"/>
      <c r="E11" s="1097"/>
      <c r="F11" s="6"/>
    </row>
    <row r="12" spans="1:7" ht="32.25" customHeight="1">
      <c r="A12" s="1379" t="s">
        <v>1137</v>
      </c>
      <c r="B12" s="1379"/>
      <c r="C12" s="1379"/>
      <c r="D12" s="1379"/>
      <c r="E12" s="1379"/>
      <c r="F12" s="1379"/>
      <c r="G12" s="1379"/>
    </row>
    <row r="13" spans="1:7" ht="17.25" customHeight="1">
      <c r="A13" s="1199" t="s">
        <v>137</v>
      </c>
      <c r="B13" s="1199"/>
      <c r="C13" s="1199"/>
      <c r="D13" s="1199"/>
      <c r="E13" s="1199"/>
      <c r="F13" s="1199"/>
      <c r="G13" s="1199"/>
    </row>
  </sheetData>
  <sheetProtection/>
  <mergeCells count="14">
    <mergeCell ref="A1:D1"/>
    <mergeCell ref="E1:G1"/>
    <mergeCell ref="A2:G2"/>
    <mergeCell ref="A3:G3"/>
    <mergeCell ref="D4:E4"/>
    <mergeCell ref="D11:E11"/>
    <mergeCell ref="A12:G12"/>
    <mergeCell ref="A13:G13"/>
    <mergeCell ref="D5:E5"/>
    <mergeCell ref="D6:E6"/>
    <mergeCell ref="D7:E7"/>
    <mergeCell ref="D8:E8"/>
    <mergeCell ref="D9:E9"/>
    <mergeCell ref="D10:E10"/>
  </mergeCells>
  <printOptions horizontalCentered="1" verticalCentered="1"/>
  <pageMargins left="0.16" right="0.16" top="0.75" bottom="0.75" header="0.3" footer="0.3"/>
  <pageSetup horizontalDpi="600" verticalDpi="600" orientation="landscape" r:id="rId1"/>
</worksheet>
</file>

<file path=xl/worksheets/sheet97.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F1"/>
    </sheetView>
  </sheetViews>
  <sheetFormatPr defaultColWidth="9.33203125" defaultRowHeight="12.75"/>
  <cols>
    <col min="1" max="1" width="21.33203125" style="0" customWidth="1"/>
    <col min="2" max="2" width="11.83203125" style="0" customWidth="1"/>
    <col min="3" max="5" width="16.66015625" style="0" customWidth="1"/>
    <col min="6" max="6" width="13.16015625" style="0" customWidth="1"/>
    <col min="7" max="7" width="3.33203125" style="0" customWidth="1"/>
    <col min="8" max="8" width="16.66015625" style="0" customWidth="1"/>
    <col min="9" max="9" width="12.16015625" style="0" customWidth="1"/>
  </cols>
  <sheetData>
    <row r="1" spans="1:9" ht="78.75" customHeight="1">
      <c r="A1" s="1559" t="s">
        <v>1138</v>
      </c>
      <c r="B1" s="1559"/>
      <c r="C1" s="1559"/>
      <c r="D1" s="1559"/>
      <c r="E1" s="1559"/>
      <c r="F1" s="1559"/>
      <c r="G1" s="1234" t="s">
        <v>1139</v>
      </c>
      <c r="H1" s="1234"/>
      <c r="I1" s="1234"/>
    </row>
    <row r="2" spans="1:9" ht="34.5" customHeight="1">
      <c r="A2" s="1198" t="s">
        <v>1140</v>
      </c>
      <c r="B2" s="1198"/>
      <c r="C2" s="1198"/>
      <c r="D2" s="1198"/>
      <c r="E2" s="1198"/>
      <c r="F2" s="1198"/>
      <c r="G2" s="1198"/>
      <c r="H2" s="1198"/>
      <c r="I2" s="1198"/>
    </row>
    <row r="3" spans="1:8" ht="57.75" customHeight="1">
      <c r="A3" s="2" t="s">
        <v>1141</v>
      </c>
      <c r="B3" s="8" t="s">
        <v>1142</v>
      </c>
      <c r="C3" s="27" t="s">
        <v>1143</v>
      </c>
      <c r="D3" s="8" t="s">
        <v>1144</v>
      </c>
      <c r="E3" s="2" t="s">
        <v>1145</v>
      </c>
      <c r="F3" s="1076" t="s">
        <v>1146</v>
      </c>
      <c r="G3" s="1078"/>
      <c r="H3" s="1" t="s">
        <v>1147</v>
      </c>
    </row>
    <row r="4" spans="1:8" ht="17.25" customHeight="1">
      <c r="A4" s="1224" t="s">
        <v>1148</v>
      </c>
      <c r="B4" s="1236"/>
      <c r="C4" s="1236"/>
      <c r="D4" s="1236"/>
      <c r="E4" s="1236"/>
      <c r="F4" s="1236"/>
      <c r="G4" s="1236"/>
      <c r="H4" s="1225"/>
    </row>
    <row r="5" spans="1:8" ht="27" customHeight="1">
      <c r="A5" s="6"/>
      <c r="B5" s="6"/>
      <c r="C5" s="6"/>
      <c r="D5" s="6"/>
      <c r="E5" s="6"/>
      <c r="F5" s="1209"/>
      <c r="G5" s="1097"/>
      <c r="H5" s="6"/>
    </row>
    <row r="6" spans="1:8" ht="27" customHeight="1">
      <c r="A6" s="6"/>
      <c r="B6" s="6"/>
      <c r="C6" s="6"/>
      <c r="D6" s="6"/>
      <c r="E6" s="6"/>
      <c r="F6" s="1209"/>
      <c r="G6" s="1097"/>
      <c r="H6" s="6"/>
    </row>
    <row r="7" spans="1:8" ht="27.75" customHeight="1">
      <c r="A7" s="6"/>
      <c r="B7" s="6"/>
      <c r="C7" s="6"/>
      <c r="D7" s="6"/>
      <c r="E7" s="6"/>
      <c r="F7" s="1209"/>
      <c r="G7" s="1097"/>
      <c r="H7" s="6"/>
    </row>
    <row r="8" spans="1:8" ht="17.25" customHeight="1">
      <c r="A8" s="1224" t="s">
        <v>1149</v>
      </c>
      <c r="B8" s="1236"/>
      <c r="C8" s="1236"/>
      <c r="D8" s="1236"/>
      <c r="E8" s="1236"/>
      <c r="F8" s="1236"/>
      <c r="G8" s="1236"/>
      <c r="H8" s="1225"/>
    </row>
    <row r="9" spans="1:8" ht="27" customHeight="1">
      <c r="A9" s="6"/>
      <c r="B9" s="6"/>
      <c r="C9" s="6"/>
      <c r="D9" s="6"/>
      <c r="E9" s="6"/>
      <c r="F9" s="1209"/>
      <c r="G9" s="1097"/>
      <c r="H9" s="6"/>
    </row>
    <row r="10" spans="1:8" ht="27" customHeight="1">
      <c r="A10" s="6"/>
      <c r="B10" s="6"/>
      <c r="C10" s="6"/>
      <c r="D10" s="6"/>
      <c r="E10" s="6"/>
      <c r="F10" s="1209"/>
      <c r="G10" s="1097"/>
      <c r="H10" s="6"/>
    </row>
    <row r="11" spans="1:8" ht="27" customHeight="1">
      <c r="A11" s="6"/>
      <c r="B11" s="6"/>
      <c r="C11" s="6"/>
      <c r="D11" s="6"/>
      <c r="E11" s="6"/>
      <c r="F11" s="1209"/>
      <c r="G11" s="1097"/>
      <c r="H11" s="6"/>
    </row>
    <row r="12" spans="1:9" ht="17.25" customHeight="1">
      <c r="A12" s="1199" t="s">
        <v>137</v>
      </c>
      <c r="B12" s="1199"/>
      <c r="C12" s="1199"/>
      <c r="D12" s="1199"/>
      <c r="E12" s="1199"/>
      <c r="F12" s="1199"/>
      <c r="G12" s="1199"/>
      <c r="H12" s="1199"/>
      <c r="I12" s="1199"/>
    </row>
  </sheetData>
  <sheetProtection/>
  <mergeCells count="13">
    <mergeCell ref="A1:F1"/>
    <mergeCell ref="G1:I1"/>
    <mergeCell ref="A2:I2"/>
    <mergeCell ref="F3:G3"/>
    <mergeCell ref="A4:H4"/>
    <mergeCell ref="F11:G11"/>
    <mergeCell ref="A12:I12"/>
    <mergeCell ref="F5:G5"/>
    <mergeCell ref="F6:G6"/>
    <mergeCell ref="F7:G7"/>
    <mergeCell ref="A8:H8"/>
    <mergeCell ref="F9:G9"/>
    <mergeCell ref="F10:G10"/>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dimension ref="A1:H19"/>
  <sheetViews>
    <sheetView zoomScalePageLayoutView="0" workbookViewId="0" topLeftCell="A1">
      <selection activeCell="G1" sqref="G1"/>
    </sheetView>
  </sheetViews>
  <sheetFormatPr defaultColWidth="9.33203125" defaultRowHeight="12.75"/>
  <cols>
    <col min="1" max="1" width="6.5" style="0" customWidth="1"/>
    <col min="2" max="2" width="4.83203125" style="0" customWidth="1"/>
    <col min="3" max="3" width="9.33203125" style="0" customWidth="1"/>
    <col min="4" max="4" width="10.5" style="0" customWidth="1"/>
    <col min="5" max="5" width="47.5" style="0" customWidth="1"/>
    <col min="6" max="6" width="21.83203125" style="0" customWidth="1"/>
    <col min="7" max="7" width="18" style="0" customWidth="1"/>
    <col min="8" max="8" width="10.66015625" style="0" customWidth="1"/>
  </cols>
  <sheetData>
    <row r="1" spans="1:8" ht="81.75" customHeight="1">
      <c r="A1" s="1093" t="s">
        <v>1150</v>
      </c>
      <c r="B1" s="1093"/>
      <c r="C1" s="1093"/>
      <c r="D1" s="1093"/>
      <c r="E1" s="1093"/>
      <c r="F1" s="1093"/>
      <c r="G1" s="958" t="s">
        <v>1151</v>
      </c>
      <c r="H1" s="970"/>
    </row>
    <row r="2" spans="1:7" ht="19.5" customHeight="1">
      <c r="A2" s="84">
        <v>1</v>
      </c>
      <c r="B2" s="1076" t="s">
        <v>1152</v>
      </c>
      <c r="C2" s="1077"/>
      <c r="D2" s="1077"/>
      <c r="E2" s="1077"/>
      <c r="F2" s="1077"/>
      <c r="G2" s="1078"/>
    </row>
    <row r="3" spans="1:7" ht="26.25" customHeight="1">
      <c r="A3" s="84">
        <v>2</v>
      </c>
      <c r="B3" s="1076" t="s">
        <v>1153</v>
      </c>
      <c r="C3" s="1078"/>
      <c r="D3" s="1209"/>
      <c r="E3" s="1096"/>
      <c r="F3" s="1096"/>
      <c r="G3" s="1097"/>
    </row>
    <row r="4" spans="1:7" ht="149.25" customHeight="1">
      <c r="A4" s="84">
        <v>3</v>
      </c>
      <c r="B4" s="1215" t="s">
        <v>1154</v>
      </c>
      <c r="C4" s="1099"/>
      <c r="D4" s="1099"/>
      <c r="E4" s="1099"/>
      <c r="F4" s="1099"/>
      <c r="G4" s="1100"/>
    </row>
    <row r="5" spans="1:7" ht="17.25" customHeight="1">
      <c r="A5" s="84">
        <v>4</v>
      </c>
      <c r="B5" s="1076" t="s">
        <v>1155</v>
      </c>
      <c r="C5" s="1077"/>
      <c r="D5" s="1077"/>
      <c r="E5" s="1077"/>
      <c r="F5" s="1077"/>
      <c r="G5" s="1078"/>
    </row>
    <row r="6" spans="1:7" ht="21.75" customHeight="1">
      <c r="A6" s="4"/>
      <c r="B6" s="1076" t="s">
        <v>1156</v>
      </c>
      <c r="C6" s="1077"/>
      <c r="D6" s="1077"/>
      <c r="E6" s="1077"/>
      <c r="F6" s="1077"/>
      <c r="G6" s="1078"/>
    </row>
    <row r="7" spans="1:7" ht="24" customHeight="1">
      <c r="A7" s="6"/>
      <c r="B7" s="13" t="s">
        <v>1157</v>
      </c>
      <c r="C7" s="1209"/>
      <c r="D7" s="1096"/>
      <c r="E7" s="1097"/>
      <c r="F7" s="1209"/>
      <c r="G7" s="1097"/>
    </row>
    <row r="8" spans="1:7" ht="22.5" customHeight="1">
      <c r="A8" s="4"/>
      <c r="B8" s="13" t="s">
        <v>1158</v>
      </c>
      <c r="C8" s="1089"/>
      <c r="D8" s="1090"/>
      <c r="E8" s="1091"/>
      <c r="F8" s="1089"/>
      <c r="G8" s="1091"/>
    </row>
    <row r="9" spans="1:7" ht="22.5" customHeight="1">
      <c r="A9" s="4"/>
      <c r="B9" s="13" t="s">
        <v>1159</v>
      </c>
      <c r="C9" s="1089"/>
      <c r="D9" s="1090"/>
      <c r="E9" s="1091"/>
      <c r="F9" s="1089"/>
      <c r="G9" s="1091"/>
    </row>
    <row r="10" spans="1:7" ht="21.75" customHeight="1">
      <c r="A10" s="84">
        <v>5</v>
      </c>
      <c r="B10" s="1076" t="s">
        <v>1160</v>
      </c>
      <c r="C10" s="1077"/>
      <c r="D10" s="1078"/>
      <c r="E10" s="1089"/>
      <c r="F10" s="1090"/>
      <c r="G10" s="1091"/>
    </row>
    <row r="11" spans="1:7" ht="22.5" customHeight="1">
      <c r="A11" s="4"/>
      <c r="B11" s="1076" t="s">
        <v>1161</v>
      </c>
      <c r="C11" s="1077"/>
      <c r="D11" s="1078"/>
      <c r="E11" s="1089"/>
      <c r="F11" s="1090"/>
      <c r="G11" s="1091"/>
    </row>
    <row r="12" spans="1:7" ht="19.5" customHeight="1">
      <c r="A12" s="4"/>
      <c r="B12" s="1076" t="s">
        <v>1162</v>
      </c>
      <c r="C12" s="1077"/>
      <c r="D12" s="1078"/>
      <c r="E12" s="1089"/>
      <c r="F12" s="1090"/>
      <c r="G12" s="1091"/>
    </row>
    <row r="13" spans="1:7" ht="19.5" customHeight="1">
      <c r="A13" s="1080" t="s">
        <v>1163</v>
      </c>
      <c r="B13" s="1081"/>
      <c r="C13" s="1081"/>
      <c r="D13" s="1082"/>
      <c r="E13" s="1089"/>
      <c r="F13" s="1090"/>
      <c r="G13" s="1091"/>
    </row>
    <row r="14" spans="1:7" ht="22.5" customHeight="1">
      <c r="A14" s="4"/>
      <c r="B14" s="1083" t="s">
        <v>1164</v>
      </c>
      <c r="C14" s="1084"/>
      <c r="D14" s="1085"/>
      <c r="E14" s="1089"/>
      <c r="F14" s="1090"/>
      <c r="G14" s="1091"/>
    </row>
    <row r="15" spans="1:7" ht="22.5" customHeight="1">
      <c r="A15" s="4"/>
      <c r="B15" s="1083" t="s">
        <v>1165</v>
      </c>
      <c r="C15" s="1084"/>
      <c r="D15" s="1085"/>
      <c r="E15" s="1089"/>
      <c r="F15" s="1090"/>
      <c r="G15" s="1091"/>
    </row>
    <row r="16" spans="1:7" ht="22.5" customHeight="1">
      <c r="A16" s="4"/>
      <c r="B16" s="1083" t="s">
        <v>1166</v>
      </c>
      <c r="C16" s="1084"/>
      <c r="D16" s="1085"/>
      <c r="E16" s="1089"/>
      <c r="F16" s="1090"/>
      <c r="G16" s="1091"/>
    </row>
    <row r="17" spans="1:7" ht="22.5" customHeight="1">
      <c r="A17" s="4"/>
      <c r="B17" s="1083" t="s">
        <v>1167</v>
      </c>
      <c r="C17" s="1084"/>
      <c r="D17" s="1085"/>
      <c r="E17" s="1089"/>
      <c r="F17" s="1090"/>
      <c r="G17" s="1091"/>
    </row>
    <row r="18" spans="1:7" ht="22.5" customHeight="1">
      <c r="A18" s="4"/>
      <c r="B18" s="1083" t="s">
        <v>1168</v>
      </c>
      <c r="C18" s="1084"/>
      <c r="D18" s="1085"/>
      <c r="E18" s="1089"/>
      <c r="F18" s="1090"/>
      <c r="G18" s="1091"/>
    </row>
    <row r="19" spans="1:7" ht="22.5" customHeight="1">
      <c r="A19" s="4"/>
      <c r="B19" s="1089"/>
      <c r="C19" s="1090"/>
      <c r="D19" s="1091"/>
      <c r="E19" s="1089"/>
      <c r="F19" s="1090"/>
      <c r="G19" s="1091"/>
    </row>
  </sheetData>
  <sheetProtection/>
  <mergeCells count="33">
    <mergeCell ref="B6:G6"/>
    <mergeCell ref="C7:E7"/>
    <mergeCell ref="A1:F1"/>
    <mergeCell ref="B2:G2"/>
    <mergeCell ref="B3:C3"/>
    <mergeCell ref="D3:G3"/>
    <mergeCell ref="B4:G4"/>
    <mergeCell ref="B5:G5"/>
    <mergeCell ref="B10:D10"/>
    <mergeCell ref="E10:G10"/>
    <mergeCell ref="B11:D11"/>
    <mergeCell ref="E11:G11"/>
    <mergeCell ref="F7:G7"/>
    <mergeCell ref="C8:E8"/>
    <mergeCell ref="F8:G8"/>
    <mergeCell ref="C9:E9"/>
    <mergeCell ref="F9:G9"/>
    <mergeCell ref="B12:D12"/>
    <mergeCell ref="E12:G12"/>
    <mergeCell ref="A13:D13"/>
    <mergeCell ref="E13:G13"/>
    <mergeCell ref="B14:D14"/>
    <mergeCell ref="E14:G14"/>
    <mergeCell ref="B18:D18"/>
    <mergeCell ref="E18:G18"/>
    <mergeCell ref="B19:D19"/>
    <mergeCell ref="E19:G19"/>
    <mergeCell ref="B15:D15"/>
    <mergeCell ref="E15:G15"/>
    <mergeCell ref="B16:D16"/>
    <mergeCell ref="E16:G16"/>
    <mergeCell ref="B17:D17"/>
    <mergeCell ref="E17:G17"/>
  </mergeCells>
  <printOptions horizontalCentered="1" verticalCentered="1"/>
  <pageMargins left="0.7" right="0.7" top="0.23" bottom="0.16"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Annxeure 1 _Part I_ Thermal Final</dc:title>
  <dc:subject/>
  <dc:creator>hp</dc:creator>
  <cp:keywords/>
  <dc:description/>
  <cp:lastModifiedBy>Manager</cp:lastModifiedBy>
  <cp:lastPrinted>2023-11-21T09:12:08Z</cp:lastPrinted>
  <dcterms:created xsi:type="dcterms:W3CDTF">2021-10-01T06:45:09Z</dcterms:created>
  <dcterms:modified xsi:type="dcterms:W3CDTF">2023-11-21T09:39:21Z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